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7.évi költségvetés- III. módosítás\"/>
    </mc:Choice>
  </mc:AlternateContent>
  <bookViews>
    <workbookView xWindow="300" yWindow="6390" windowWidth="19320" windowHeight="7335"/>
  </bookViews>
  <sheets>
    <sheet name="11.sz.m.-3 éves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L33" i="1" l="1"/>
  <c r="J16" i="1"/>
  <c r="J9" i="1"/>
  <c r="C16" i="1"/>
  <c r="C7" i="1"/>
  <c r="K21" i="1" l="1"/>
  <c r="K16" i="1"/>
  <c r="D16" i="1"/>
  <c r="C17" i="1"/>
  <c r="C21" i="1"/>
  <c r="C15" i="1"/>
  <c r="C9" i="1"/>
  <c r="J23" i="1"/>
  <c r="J22" i="1"/>
  <c r="J21" i="1"/>
  <c r="J17" i="1"/>
  <c r="J12" i="1"/>
  <c r="J11" i="1"/>
  <c r="J10" i="1"/>
  <c r="J8" i="1"/>
  <c r="J7" i="1"/>
  <c r="L21" i="1" l="1"/>
  <c r="M21" i="1" s="1"/>
  <c r="J27" i="1"/>
  <c r="K25" i="1"/>
  <c r="L25" i="1" s="1"/>
  <c r="M25" i="1" s="1"/>
  <c r="M27" i="1" s="1"/>
  <c r="L16" i="1"/>
  <c r="M16" i="1" s="1"/>
  <c r="M17" i="1" s="1"/>
  <c r="D26" i="1"/>
  <c r="E26" i="1" s="1"/>
  <c r="F26" i="1" s="1"/>
  <c r="E16" i="1"/>
  <c r="F16" i="1" s="1"/>
  <c r="L27" i="1" l="1"/>
  <c r="K27" i="1"/>
  <c r="D8" i="1"/>
  <c r="E8" i="1" s="1"/>
  <c r="F8" i="1" s="1"/>
  <c r="L11" i="1" l="1"/>
  <c r="K12" i="1"/>
  <c r="K9" i="1" l="1"/>
  <c r="M11" i="1" l="1"/>
  <c r="K13" i="1"/>
  <c r="L13" i="1" s="1"/>
  <c r="M13" i="1" s="1"/>
  <c r="E23" i="1"/>
  <c r="F23" i="1" s="1"/>
  <c r="D9" i="1"/>
  <c r="E9" i="1" s="1"/>
  <c r="F9" i="1" s="1"/>
  <c r="D10" i="1"/>
  <c r="E10" i="1" s="1"/>
  <c r="F10" i="1" s="1"/>
  <c r="D24" i="1"/>
  <c r="E21" i="1"/>
  <c r="D7" i="1"/>
  <c r="E7" i="1" s="1"/>
  <c r="F7" i="1" s="1"/>
  <c r="K8" i="1"/>
  <c r="L8" i="1" s="1"/>
  <c r="M8" i="1" s="1"/>
  <c r="L9" i="1"/>
  <c r="M9" i="1" s="1"/>
  <c r="K10" i="1"/>
  <c r="L10" i="1" s="1"/>
  <c r="M10" i="1" s="1"/>
  <c r="L12" i="1"/>
  <c r="K7" i="1"/>
  <c r="L7" i="1" s="1"/>
  <c r="M7" i="1" s="1"/>
  <c r="J24" i="1"/>
  <c r="J30" i="1" s="1"/>
  <c r="J32" i="1"/>
  <c r="J14" i="1"/>
  <c r="C27" i="1"/>
  <c r="C24" i="1"/>
  <c r="C14" i="1"/>
  <c r="L17" i="1"/>
  <c r="E27" i="1"/>
  <c r="D27" i="1"/>
  <c r="E17" i="1"/>
  <c r="D17" i="1"/>
  <c r="K17" i="1"/>
  <c r="K32" i="1" s="1"/>
  <c r="F27" i="1"/>
  <c r="F17" i="1"/>
  <c r="C32" i="1" l="1"/>
  <c r="C30" i="1"/>
  <c r="F32" i="1"/>
  <c r="D32" i="1"/>
  <c r="D30" i="1"/>
  <c r="E32" i="1"/>
  <c r="M32" i="1"/>
  <c r="F21" i="1"/>
  <c r="F24" i="1" s="1"/>
  <c r="F30" i="1" s="1"/>
  <c r="E24" i="1"/>
  <c r="E30" i="1" s="1"/>
  <c r="M24" i="1"/>
  <c r="M30" i="1" s="1"/>
  <c r="K14" i="1"/>
  <c r="D14" i="1"/>
  <c r="D31" i="1" s="1"/>
  <c r="L24" i="1"/>
  <c r="L30" i="1" s="1"/>
  <c r="K24" i="1"/>
  <c r="K30" i="1" s="1"/>
  <c r="M14" i="1"/>
  <c r="M19" i="1" s="1"/>
  <c r="M33" i="1" s="1"/>
  <c r="J31" i="1"/>
  <c r="J19" i="1"/>
  <c r="J33" i="1" s="1"/>
  <c r="C31" i="1"/>
  <c r="C19" i="1"/>
  <c r="C33" i="1" s="1"/>
  <c r="F14" i="1"/>
  <c r="L14" i="1"/>
  <c r="E14" i="1"/>
  <c r="L32" i="1"/>
  <c r="K19" i="1" l="1"/>
  <c r="K33" i="1" s="1"/>
  <c r="K31" i="1"/>
  <c r="D19" i="1"/>
  <c r="D33" i="1" s="1"/>
  <c r="M31" i="1"/>
  <c r="E31" i="1"/>
  <c r="E19" i="1"/>
  <c r="E33" i="1" s="1"/>
  <c r="F19" i="1"/>
  <c r="F33" i="1" s="1"/>
  <c r="F31" i="1"/>
  <c r="L19" i="1"/>
  <c r="L31" i="1"/>
</calcChain>
</file>

<file path=xl/sharedStrings.xml><?xml version="1.0" encoding="utf-8"?>
<sst xmlns="http://schemas.openxmlformats.org/spreadsheetml/2006/main" count="103" uniqueCount="82">
  <si>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</si>
  <si>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</si>
  <si>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</si>
  <si>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</si>
  <si>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</si>
  <si>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</si>
  <si>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</si>
  <si>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</si>
  <si>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</si>
  <si>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</si>
  <si>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</si>
  <si>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</si>
  <si>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</si>
  <si>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</si>
  <si>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</si>
  <si>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</si>
  <si>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</si>
  <si>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</si>
  <si>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</si>
  <si>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</si>
  <si>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</si>
  <si>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</si>
  <si>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</si>
  <si>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</si>
  <si>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</si>
  <si>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</si>
  <si>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</si>
  <si>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</si>
  <si>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</si>
  <si>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</si>
  <si>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</si>
  <si>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</si>
  <si>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Működési bevételek összesen (A+B)</t>
  </si>
  <si>
    <t>Működési kiadások összesen (A+B)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</si>
  <si>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</si>
  <si>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</si>
  <si>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</si>
  <si>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</si>
  <si>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</si>
  <si>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</si>
  <si>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</si>
  <si>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célú fianszírozási kiadások</t>
  </si>
  <si>
    <t>Működési c.finanszírozási kiadások összesen</t>
  </si>
  <si>
    <t>Felhalm. c.finanszírozási kiadások összesen</t>
  </si>
  <si>
    <t>Ebből:      - maradvány igénybevétele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</si>
  <si>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</si>
  <si>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</si>
  <si>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</si>
  <si>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</si>
  <si>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</si>
  <si>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</si>
  <si>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</si>
  <si>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</si>
  <si>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</si>
  <si>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</si>
  <si>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</si>
  <si>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</si>
  <si>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</si>
  <si>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</si>
  <si>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</si>
  <si>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</si>
  <si>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</si>
  <si>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</si>
  <si>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</si>
  <si>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</si>
  <si>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</si>
  <si>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Működési c. finanszírozási bevételek össz.</t>
  </si>
  <si>
    <t>2017.</t>
  </si>
  <si>
    <t>Felhalmozási költségvetési kiadások össz.</t>
  </si>
  <si>
    <t>Felhalm. c. finanszírozási bevételek össz.</t>
  </si>
  <si>
    <t>Felhalmozási költségvetési bevételek össz.</t>
  </si>
  <si>
    <t>Felhalmozási célú bevételek össz. (D+E)</t>
  </si>
  <si>
    <t>2018.</t>
  </si>
  <si>
    <t>2019.</t>
  </si>
  <si>
    <t>Felhalmozási c.fiansz.kiadások( hiteltörl.)</t>
  </si>
  <si>
    <t>2020.</t>
  </si>
  <si>
    <t>Felhalmozási c.fiansz.kiadások</t>
  </si>
  <si>
    <t>Pilisborosjenő Község Önkormányzat 3 éves költségvetési mérlege</t>
  </si>
  <si>
    <t>11 .sz. melléklet</t>
  </si>
  <si>
    <t>Pilisborosjenő, 2017. november 16.</t>
  </si>
  <si>
    <t>Kincstárjegy vétel</t>
  </si>
  <si>
    <t>Pénzmaradvány igénybevétele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</si>
</sst>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0" fillId="0" borderId="4" xfId="0" applyBorder="1"/>
    <xf numFmtId="0" fontId="0" fillId="0" borderId="5" xfId="0" applyBorder="1"/>
    <xf numFmtId="3" fontId="0" fillId="0" borderId="6" xfId="0" applyNumberFormat="1" applyBorder="1"/>
    <xf numFmtId="0" fontId="0" fillId="0" borderId="7" xfId="0" applyBorder="1"/>
    <xf numFmtId="0" fontId="1" fillId="0" borderId="8" xfId="0" applyFont="1" applyBorder="1"/>
    <xf numFmtId="3" fontId="1" fillId="0" borderId="10" xfId="0" applyNumberFormat="1" applyFont="1" applyBorder="1"/>
    <xf numFmtId="3" fontId="3" fillId="0" borderId="0" xfId="0" applyNumberFormat="1" applyFont="1" applyAlignment="1">
      <alignment horizontal="right"/>
    </xf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1" fillId="0" borderId="14" xfId="0" applyNumberFormat="1" applyFon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2" xfId="0" applyNumberFormat="1" applyBorder="1"/>
    <xf numFmtId="3" fontId="0" fillId="0" borderId="5" xfId="0" applyNumberFormat="1" applyBorder="1"/>
    <xf numFmtId="3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1" fillId="0" borderId="0" xfId="0" applyNumberFormat="1" applyFont="1" applyBorder="1" applyAlignment="1">
      <alignment horizontal="center" vertical="center"/>
    </xf>
    <xf numFmtId="0" fontId="0" fillId="0" borderId="20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0" fillId="0" borderId="11" xfId="0" applyBorder="1"/>
    <xf numFmtId="0" fontId="0" fillId="0" borderId="0" xfId="0" applyBorder="1"/>
    <xf numFmtId="3" fontId="1" fillId="0" borderId="21" xfId="0" applyNumberFormat="1" applyFont="1" applyBorder="1"/>
    <xf numFmtId="3" fontId="1" fillId="0" borderId="8" xfId="0" applyNumberFormat="1" applyFont="1" applyBorder="1"/>
    <xf numFmtId="3" fontId="0" fillId="0" borderId="23" xfId="0" applyNumberFormat="1" applyBorder="1"/>
    <xf numFmtId="3" fontId="0" fillId="0" borderId="24" xfId="0" applyNumberFormat="1" applyBorder="1"/>
    <xf numFmtId="0" fontId="0" fillId="0" borderId="23" xfId="0" applyBorder="1"/>
    <xf numFmtId="0" fontId="0" fillId="0" borderId="25" xfId="0" applyBorder="1"/>
    <xf numFmtId="0" fontId="1" fillId="0" borderId="26" xfId="0" applyFont="1" applyBorder="1"/>
    <xf numFmtId="3" fontId="0" fillId="0" borderId="32" xfId="0" applyNumberFormat="1" applyBorder="1"/>
    <xf numFmtId="3" fontId="1" fillId="0" borderId="21" xfId="0" applyNumberFormat="1" applyFont="1" applyBorder="1" applyAlignment="1">
      <alignment horizontal="center" vertical="center"/>
    </xf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3" fontId="1" fillId="0" borderId="36" xfId="0" applyNumberFormat="1" applyFont="1" applyBorder="1"/>
    <xf numFmtId="3" fontId="0" fillId="0" borderId="31" xfId="0" applyNumberFormat="1" applyBorder="1"/>
    <xf numFmtId="3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0" fillId="0" borderId="43" xfId="0" applyNumberFormat="1" applyBorder="1"/>
    <xf numFmtId="3" fontId="0" fillId="0" borderId="44" xfId="0" applyNumberFormat="1" applyBorder="1"/>
    <xf numFmtId="3" fontId="0" fillId="0" borderId="45" xfId="0" applyNumberFormat="1" applyBorder="1"/>
    <xf numFmtId="3" fontId="0" fillId="0" borderId="46" xfId="0" applyNumberFormat="1" applyBorder="1"/>
    <xf numFmtId="3" fontId="0" fillId="0" borderId="28" xfId="0" applyNumberFormat="1" applyBorder="1"/>
    <xf numFmtId="0" fontId="0" fillId="0" borderId="43" xfId="0" applyBorder="1"/>
    <xf numFmtId="0" fontId="0" fillId="0" borderId="44" xfId="0" applyBorder="1"/>
    <xf numFmtId="0" fontId="0" fillId="0" borderId="46" xfId="0" applyBorder="1"/>
    <xf numFmtId="0" fontId="0" fillId="0" borderId="47" xfId="0" applyBorder="1"/>
    <xf numFmtId="0" fontId="0" fillId="0" borderId="42" xfId="0" applyBorder="1"/>
    <xf numFmtId="3" fontId="0" fillId="0" borderId="47" xfId="0" applyNumberFormat="1" applyBorder="1"/>
    <xf numFmtId="0" fontId="4" fillId="0" borderId="5" xfId="0" applyFont="1" applyFill="1" applyBorder="1"/>
    <xf numFmtId="3" fontId="0" fillId="0" borderId="48" xfId="0" applyNumberFormat="1" applyBorder="1"/>
    <xf numFmtId="3" fontId="0" fillId="0" borderId="49" xfId="0" applyNumberFormat="1" applyBorder="1"/>
    <xf numFmtId="3" fontId="0" fillId="0" borderId="50" xfId="0" applyNumberFormat="1" applyBorder="1"/>
    <xf numFmtId="3" fontId="0" fillId="0" borderId="48" xfId="0" applyNumberFormat="1" applyFill="1" applyBorder="1"/>
    <xf numFmtId="0" fontId="0" fillId="0" borderId="51" xfId="0" applyBorder="1"/>
    <xf numFmtId="3" fontId="0" fillId="0" borderId="49" xfId="0" applyNumberFormat="1" applyFill="1" applyBorder="1"/>
    <xf numFmtId="3" fontId="0" fillId="0" borderId="3" xfId="0" applyNumberFormat="1" applyFill="1" applyBorder="1"/>
    <xf numFmtId="3" fontId="0" fillId="0" borderId="50" xfId="0" applyNumberFormat="1" applyFill="1" applyBorder="1"/>
    <xf numFmtId="0" fontId="0" fillId="0" borderId="2" xfId="0" applyFill="1" applyBorder="1"/>
    <xf numFmtId="0" fontId="0" fillId="0" borderId="52" xfId="0" applyFill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13" zoomScaleNormal="100" workbookViewId="0">
      <selection activeCell="L34" sqref="L34"/>
    </sheetView>
  </sheetViews>
  <sheetFormatPr defaultRowHeight="15" x14ac:dyDescent="0.25"/>
  <cols>
    <col min="1" max="1" width="9.7109375" customWidth="1"/>
    <col min="2" max="2" width="38.7109375" customWidth="1"/>
    <col min="3" max="4" width="12.140625" customWidth="1"/>
    <col min="5" max="6" width="12.140625" style="1" customWidth="1"/>
    <col min="7" max="7" width="2.7109375" style="1" customWidth="1"/>
    <col min="8" max="8" width="9.85546875" style="1" customWidth="1"/>
    <col min="9" max="9" width="40" customWidth="1"/>
    <col min="10" max="11" width="12.140625" customWidth="1"/>
    <col min="12" max="13" width="12.140625" style="1" customWidth="1"/>
  </cols>
  <sheetData>
    <row r="1" spans="1:14" x14ac:dyDescent="0.25">
      <c r="M1" s="11" t="s">
        <v>78</v>
      </c>
    </row>
    <row r="2" spans="1:14" ht="18.75" x14ac:dyDescent="0.3">
      <c r="A2" s="82" t="s">
        <v>77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5.75" thickBot="1" x14ac:dyDescent="0.3">
      <c r="M3" s="11" t="s">
        <v>61</v>
      </c>
    </row>
    <row r="4" spans="1:14" ht="15.75" thickBot="1" x14ac:dyDescent="0.3">
      <c r="A4" s="78" t="s">
        <v>2</v>
      </c>
      <c r="B4" s="79"/>
      <c r="C4" s="80"/>
      <c r="D4" s="80"/>
      <c r="E4" s="80"/>
      <c r="F4" s="81"/>
      <c r="G4" s="23"/>
      <c r="H4" s="78" t="s">
        <v>4</v>
      </c>
      <c r="I4" s="79"/>
      <c r="J4" s="80"/>
      <c r="K4" s="80"/>
      <c r="L4" s="80"/>
      <c r="M4" s="81"/>
    </row>
    <row r="5" spans="1:14" ht="15.75" thickBot="1" x14ac:dyDescent="0.3">
      <c r="A5" s="85" t="s">
        <v>3</v>
      </c>
      <c r="B5" s="83" t="s">
        <v>0</v>
      </c>
      <c r="C5" s="87" t="s">
        <v>1</v>
      </c>
      <c r="D5" s="88"/>
      <c r="E5" s="88"/>
      <c r="F5" s="89"/>
      <c r="G5" s="22"/>
      <c r="H5" s="85" t="s">
        <v>3</v>
      </c>
      <c r="I5" s="83" t="s">
        <v>0</v>
      </c>
      <c r="J5" s="87" t="s">
        <v>1</v>
      </c>
      <c r="K5" s="88"/>
      <c r="L5" s="88"/>
      <c r="M5" s="89"/>
    </row>
    <row r="6" spans="1:14" ht="15.75" thickBot="1" x14ac:dyDescent="0.3">
      <c r="A6" s="86"/>
      <c r="B6" s="84"/>
      <c r="C6" s="44" t="s">
        <v>67</v>
      </c>
      <c r="D6" s="44" t="s">
        <v>72</v>
      </c>
      <c r="E6" s="44" t="s">
        <v>73</v>
      </c>
      <c r="F6" s="44" t="s">
        <v>75</v>
      </c>
      <c r="G6" s="29"/>
      <c r="H6" s="86"/>
      <c r="I6" s="84"/>
      <c r="J6" s="44" t="s">
        <v>67</v>
      </c>
      <c r="K6" s="44" t="s">
        <v>72</v>
      </c>
      <c r="L6" s="44" t="s">
        <v>73</v>
      </c>
      <c r="M6" s="44" t="s">
        <v>75</v>
      </c>
    </row>
    <row r="7" spans="1:14" x14ac:dyDescent="0.25">
      <c r="A7" s="8" t="s">
        <v>5</v>
      </c>
      <c r="B7" s="24" t="s">
        <v>64</v>
      </c>
      <c r="C7" s="71">
        <f>214118+124+693+1996+300+1000+400+640+212+1176+3295+340</f>
        <v>224294</v>
      </c>
      <c r="D7" s="55">
        <f>C7*1.05</f>
        <v>235508.7</v>
      </c>
      <c r="E7" s="55">
        <f>D7*1.05</f>
        <v>247284.13500000001</v>
      </c>
      <c r="F7" s="55">
        <f>E7*1.05</f>
        <v>259648.34175000002</v>
      </c>
      <c r="G7" s="12"/>
      <c r="H7" s="17" t="s">
        <v>11</v>
      </c>
      <c r="I7" s="30" t="s">
        <v>15</v>
      </c>
      <c r="J7" s="68">
        <f>175991+169+87+131+104+89+1313+655+66+52+950-400-503+1785+2310+1694+3210</f>
        <v>187703</v>
      </c>
      <c r="K7" s="55">
        <f>J7*1.05</f>
        <v>197088.15</v>
      </c>
      <c r="L7" s="55">
        <f>K7*1.05</f>
        <v>206942.5575</v>
      </c>
      <c r="M7" s="50">
        <f>L7*1.05</f>
        <v>217289.685375</v>
      </c>
    </row>
    <row r="8" spans="1:14" x14ac:dyDescent="0.25">
      <c r="A8" s="2" t="s">
        <v>6</v>
      </c>
      <c r="B8" s="25" t="s">
        <v>7</v>
      </c>
      <c r="C8" s="73">
        <v>331399</v>
      </c>
      <c r="D8" s="56">
        <f>(C8-81000)*1.05+25000</f>
        <v>287918.95</v>
      </c>
      <c r="E8" s="56">
        <f>D8*1.05-1250</f>
        <v>301064.89750000002</v>
      </c>
      <c r="F8" s="56">
        <f>E8*1.05-23250</f>
        <v>292868.14237500005</v>
      </c>
      <c r="G8" s="13"/>
      <c r="H8" s="18" t="s">
        <v>12</v>
      </c>
      <c r="I8" s="31" t="s">
        <v>62</v>
      </c>
      <c r="J8" s="69">
        <f>39219+32+16+29+23+13+289+145+14+12+393+508+292+380</f>
        <v>41365</v>
      </c>
      <c r="K8" s="56">
        <f t="shared" ref="K8:M12" si="0">J8*1.05</f>
        <v>43433.25</v>
      </c>
      <c r="L8" s="56">
        <f t="shared" si="0"/>
        <v>45604.912499999999</v>
      </c>
      <c r="M8" s="51">
        <f t="shared" si="0"/>
        <v>47885.158125000002</v>
      </c>
    </row>
    <row r="9" spans="1:14" x14ac:dyDescent="0.25">
      <c r="A9" s="2" t="s">
        <v>8</v>
      </c>
      <c r="B9" s="25" t="s">
        <v>9</v>
      </c>
      <c r="C9" s="73">
        <f>72156+500+3465</f>
        <v>76121</v>
      </c>
      <c r="D9" s="56">
        <f t="shared" ref="D9:F9" si="1">C9*1.05</f>
        <v>79927.05</v>
      </c>
      <c r="E9" s="56">
        <f t="shared" si="1"/>
        <v>83923.402500000011</v>
      </c>
      <c r="F9" s="56">
        <f t="shared" si="1"/>
        <v>88119.572625000015</v>
      </c>
      <c r="G9" s="13"/>
      <c r="H9" s="18" t="s">
        <v>13</v>
      </c>
      <c r="I9" s="31" t="s">
        <v>16</v>
      </c>
      <c r="J9" s="69">
        <f>150900+200+2500+5200+303-447+240+400+17+1778+994+332+1935-1474+624+1599+2992+111-5200-200+340</f>
        <v>163144</v>
      </c>
      <c r="K9" s="56">
        <f>J9*1.05-4050</f>
        <v>167251.20000000001</v>
      </c>
      <c r="L9" s="56">
        <f t="shared" si="0"/>
        <v>175613.76</v>
      </c>
      <c r="M9" s="51">
        <f t="shared" si="0"/>
        <v>184394.448</v>
      </c>
    </row>
    <row r="10" spans="1:14" x14ac:dyDescent="0.25">
      <c r="A10" s="2" t="s">
        <v>30</v>
      </c>
      <c r="B10" s="25" t="s">
        <v>31</v>
      </c>
      <c r="C10" s="61">
        <v>0</v>
      </c>
      <c r="D10" s="59">
        <f t="shared" ref="D10:F10" si="2">C10*1.05</f>
        <v>0</v>
      </c>
      <c r="E10" s="59">
        <f t="shared" si="2"/>
        <v>0</v>
      </c>
      <c r="F10" s="59">
        <f t="shared" si="2"/>
        <v>0</v>
      </c>
      <c r="G10" s="13"/>
      <c r="H10" s="18" t="s">
        <v>14</v>
      </c>
      <c r="I10" s="31" t="s">
        <v>17</v>
      </c>
      <c r="J10" s="69">
        <f>21335+640</f>
        <v>21975</v>
      </c>
      <c r="K10" s="56">
        <f t="shared" si="0"/>
        <v>23073.75</v>
      </c>
      <c r="L10" s="56">
        <f t="shared" si="0"/>
        <v>24227.4375</v>
      </c>
      <c r="M10" s="51">
        <f t="shared" si="0"/>
        <v>25438.809375000001</v>
      </c>
    </row>
    <row r="11" spans="1:14" x14ac:dyDescent="0.25">
      <c r="A11" s="2"/>
      <c r="B11" s="25"/>
      <c r="C11" s="61"/>
      <c r="D11" s="61"/>
      <c r="E11" s="56"/>
      <c r="F11" s="56"/>
      <c r="G11" s="13"/>
      <c r="H11" s="18" t="s">
        <v>18</v>
      </c>
      <c r="I11" s="31" t="s">
        <v>19</v>
      </c>
      <c r="J11" s="69">
        <f>165489+900-240+850+78645-9839-250+1000</f>
        <v>236555</v>
      </c>
      <c r="K11" s="56">
        <v>129960</v>
      </c>
      <c r="L11" s="56">
        <f>K11*1.05+1</f>
        <v>136459</v>
      </c>
      <c r="M11" s="51">
        <f>L11*1.05-55000</f>
        <v>88281.950000000012</v>
      </c>
    </row>
    <row r="12" spans="1:14" x14ac:dyDescent="0.25">
      <c r="A12" s="2"/>
      <c r="B12" s="25"/>
      <c r="C12" s="61"/>
      <c r="D12" s="61"/>
      <c r="E12" s="56"/>
      <c r="F12" s="56"/>
      <c r="G12" s="13"/>
      <c r="H12" s="18"/>
      <c r="I12" s="31" t="s">
        <v>20</v>
      </c>
      <c r="J12" s="69">
        <f>38154-240+78645-9839-250+1000+500</f>
        <v>107970</v>
      </c>
      <c r="K12" s="56">
        <f>J12*1.05-11364</f>
        <v>102004.5</v>
      </c>
      <c r="L12" s="56">
        <f t="shared" si="0"/>
        <v>107104.72500000001</v>
      </c>
      <c r="M12" s="51">
        <v>23643</v>
      </c>
    </row>
    <row r="13" spans="1:14" ht="15.75" thickBot="1" x14ac:dyDescent="0.3">
      <c r="A13" s="40"/>
      <c r="B13" s="41"/>
      <c r="C13" s="62"/>
      <c r="D13" s="62"/>
      <c r="E13" s="57"/>
      <c r="F13" s="57"/>
      <c r="G13" s="14"/>
      <c r="H13" s="38"/>
      <c r="I13" s="46" t="s">
        <v>21</v>
      </c>
      <c r="J13" s="70">
        <v>102829</v>
      </c>
      <c r="K13" s="57">
        <f>J13*1.05-81000</f>
        <v>26970.450000000012</v>
      </c>
      <c r="L13" s="57">
        <f t="shared" ref="L13:M13" si="3">K13*1.05</f>
        <v>28318.972500000014</v>
      </c>
      <c r="M13" s="39">
        <f t="shared" si="3"/>
        <v>29734.921125000015</v>
      </c>
    </row>
    <row r="14" spans="1:14" ht="15.75" thickBot="1" x14ac:dyDescent="0.3">
      <c r="A14" s="9" t="s">
        <v>56</v>
      </c>
      <c r="B14" s="42" t="s">
        <v>22</v>
      </c>
      <c r="C14" s="36">
        <f>C7+C8+C9+C10</f>
        <v>631814</v>
      </c>
      <c r="D14" s="36">
        <f>D7+D8+D9+D10</f>
        <v>603354.70000000007</v>
      </c>
      <c r="E14" s="36">
        <f>E7+E8+E9+E10</f>
        <v>632272.43499999994</v>
      </c>
      <c r="F14" s="36">
        <f>F7+F8+F9+F10</f>
        <v>640636.05675000011</v>
      </c>
      <c r="G14" s="15"/>
      <c r="H14" s="9" t="s">
        <v>56</v>
      </c>
      <c r="I14" s="33" t="s">
        <v>23</v>
      </c>
      <c r="J14" s="37">
        <f>SUM(J7:J11)</f>
        <v>650742</v>
      </c>
      <c r="K14" s="37">
        <f>SUM(K7:K11)</f>
        <v>560806.35</v>
      </c>
      <c r="L14" s="37">
        <f>SUM(L7:L11)</f>
        <v>588847.66749999998</v>
      </c>
      <c r="M14" s="36">
        <f>SUM(M7:M11)</f>
        <v>563290.05087500007</v>
      </c>
      <c r="N14" s="1"/>
    </row>
    <row r="15" spans="1:14" x14ac:dyDescent="0.25">
      <c r="A15" s="76" t="s">
        <v>24</v>
      </c>
      <c r="B15" s="77" t="s">
        <v>81</v>
      </c>
      <c r="C15" s="74">
        <f>89615+111</f>
        <v>89726</v>
      </c>
      <c r="D15" s="63">
        <v>0</v>
      </c>
      <c r="E15" s="59">
        <v>0</v>
      </c>
      <c r="F15" s="59">
        <v>0</v>
      </c>
      <c r="G15" s="12"/>
      <c r="H15" s="20" t="s">
        <v>25</v>
      </c>
      <c r="I15" s="72" t="s">
        <v>80</v>
      </c>
      <c r="J15" s="4">
        <v>245000</v>
      </c>
      <c r="K15" s="20">
        <v>0</v>
      </c>
      <c r="L15" s="12">
        <v>0</v>
      </c>
      <c r="M15" s="4">
        <v>0</v>
      </c>
    </row>
    <row r="16" spans="1:14" ht="15.75" thickBot="1" x14ac:dyDescent="0.3">
      <c r="A16" s="5" t="s">
        <v>24</v>
      </c>
      <c r="B16" s="26" t="s">
        <v>40</v>
      </c>
      <c r="C16" s="75">
        <f>195189+3613+2818+212+275000+340</f>
        <v>477172</v>
      </c>
      <c r="D16" s="56">
        <f>(C16-275000)*1.05</f>
        <v>212280.6</v>
      </c>
      <c r="E16" s="56">
        <f t="shared" ref="E16:F16" si="4">D16*1.05</f>
        <v>222894.63</v>
      </c>
      <c r="F16" s="56">
        <f t="shared" si="4"/>
        <v>234039.36150000003</v>
      </c>
      <c r="G16" s="14"/>
      <c r="H16" s="19" t="s">
        <v>25</v>
      </c>
      <c r="I16" s="32" t="s">
        <v>41</v>
      </c>
      <c r="J16" s="70">
        <f>195189+7059+1435+5208+340</f>
        <v>209231</v>
      </c>
      <c r="K16" s="56">
        <f>(J16-7059)*1.05</f>
        <v>212280.6</v>
      </c>
      <c r="L16" s="56">
        <f t="shared" ref="L16:M16" si="5">K16*1.05</f>
        <v>222894.63</v>
      </c>
      <c r="M16" s="56">
        <f t="shared" si="5"/>
        <v>234039.36150000003</v>
      </c>
    </row>
    <row r="17" spans="1:13" ht="15.75" thickBot="1" x14ac:dyDescent="0.3">
      <c r="A17" s="9" t="s">
        <v>55</v>
      </c>
      <c r="B17" s="42" t="s">
        <v>66</v>
      </c>
      <c r="C17" s="36">
        <f>C16+C15</f>
        <v>566898</v>
      </c>
      <c r="D17" s="36">
        <f>D16</f>
        <v>212280.6</v>
      </c>
      <c r="E17" s="36">
        <f>E16</f>
        <v>222894.63</v>
      </c>
      <c r="F17" s="36">
        <f>F16</f>
        <v>234039.36150000003</v>
      </c>
      <c r="G17" s="15"/>
      <c r="H17" s="9" t="s">
        <v>55</v>
      </c>
      <c r="I17" s="33" t="s">
        <v>42</v>
      </c>
      <c r="J17" s="37">
        <f>J16+J15</f>
        <v>454231</v>
      </c>
      <c r="K17" s="37">
        <f>K16</f>
        <v>212280.6</v>
      </c>
      <c r="L17" s="37">
        <f>L16</f>
        <v>222894.63</v>
      </c>
      <c r="M17" s="36">
        <f>M16+M15</f>
        <v>234039.36150000003</v>
      </c>
    </row>
    <row r="18" spans="1:13" ht="15.75" thickBot="1" x14ac:dyDescent="0.3">
      <c r="A18" s="6"/>
      <c r="B18" s="28"/>
      <c r="C18" s="64"/>
      <c r="D18" s="64"/>
      <c r="E18" s="66"/>
      <c r="F18" s="66"/>
      <c r="G18" s="16"/>
      <c r="H18" s="6"/>
      <c r="I18" s="35"/>
      <c r="J18" s="21"/>
      <c r="K18" s="21"/>
      <c r="L18" s="16"/>
      <c r="M18" s="7"/>
    </row>
    <row r="19" spans="1:13" ht="15.75" thickBot="1" x14ac:dyDescent="0.3">
      <c r="A19" s="9" t="s">
        <v>54</v>
      </c>
      <c r="B19" s="42" t="s">
        <v>32</v>
      </c>
      <c r="C19" s="36">
        <f>C14+C17</f>
        <v>1198712</v>
      </c>
      <c r="D19" s="36">
        <f>D14+D17</f>
        <v>815635.3</v>
      </c>
      <c r="E19" s="36">
        <f>E14+E17</f>
        <v>855167.06499999994</v>
      </c>
      <c r="F19" s="36">
        <f>F14+F17</f>
        <v>874675.4182500001</v>
      </c>
      <c r="G19" s="15"/>
      <c r="H19" s="9" t="s">
        <v>54</v>
      </c>
      <c r="I19" s="33" t="s">
        <v>33</v>
      </c>
      <c r="J19" s="37">
        <f>J14+J17</f>
        <v>1104973</v>
      </c>
      <c r="K19" s="37">
        <f>K14+K17</f>
        <v>773086.95</v>
      </c>
      <c r="L19" s="37">
        <f>L14+L17</f>
        <v>811742.29749999999</v>
      </c>
      <c r="M19" s="10">
        <f>M14+M17</f>
        <v>797329.41237500007</v>
      </c>
    </row>
    <row r="20" spans="1:13" x14ac:dyDescent="0.25">
      <c r="A20" s="8"/>
      <c r="B20" s="24"/>
      <c r="C20" s="65"/>
      <c r="D20" s="65"/>
      <c r="E20" s="55"/>
      <c r="F20" s="55"/>
      <c r="G20" s="12"/>
      <c r="H20" s="17"/>
      <c r="I20" s="30"/>
      <c r="J20" s="43"/>
      <c r="K20" s="55"/>
      <c r="L20" s="55"/>
      <c r="M20" s="55"/>
    </row>
    <row r="21" spans="1:13" x14ac:dyDescent="0.25">
      <c r="A21" s="2" t="s">
        <v>10</v>
      </c>
      <c r="B21" s="25" t="s">
        <v>63</v>
      </c>
      <c r="C21" s="73">
        <f>407000+95342</f>
        <v>502342</v>
      </c>
      <c r="D21" s="56">
        <v>0</v>
      </c>
      <c r="E21" s="56">
        <f t="shared" ref="E21:F21" si="6">D21*1.05</f>
        <v>0</v>
      </c>
      <c r="F21" s="56">
        <f t="shared" si="6"/>
        <v>0</v>
      </c>
      <c r="G21" s="13"/>
      <c r="H21" s="18" t="s">
        <v>34</v>
      </c>
      <c r="I21" s="31" t="s">
        <v>35</v>
      </c>
      <c r="J21" s="69">
        <f>1289974+4572+508+2644+2437+200+850+1905+5200+200</f>
        <v>1308490</v>
      </c>
      <c r="K21" s="56">
        <f>31365-642</f>
        <v>30723</v>
      </c>
      <c r="L21" s="56">
        <f>K21*1.05-1001</f>
        <v>31258.15</v>
      </c>
      <c r="M21" s="56">
        <f>L21*1.05-1000</f>
        <v>31821.057500000003</v>
      </c>
    </row>
    <row r="22" spans="1:13" x14ac:dyDescent="0.25">
      <c r="A22" s="2" t="s">
        <v>26</v>
      </c>
      <c r="B22" s="25" t="s">
        <v>27</v>
      </c>
      <c r="C22" s="73">
        <v>77540</v>
      </c>
      <c r="D22" s="56">
        <v>40000</v>
      </c>
      <c r="E22" s="56">
        <v>40000</v>
      </c>
      <c r="F22" s="56">
        <v>40000</v>
      </c>
      <c r="G22" s="13"/>
      <c r="H22" s="18" t="s">
        <v>36</v>
      </c>
      <c r="I22" s="31" t="s">
        <v>37</v>
      </c>
      <c r="J22" s="69">
        <f>2566+5000+1500-994+31750+10261-508+92350+27356</f>
        <v>169281</v>
      </c>
      <c r="K22" s="56">
        <v>26825</v>
      </c>
      <c r="L22" s="56">
        <v>27166</v>
      </c>
      <c r="M22" s="56">
        <v>27524</v>
      </c>
    </row>
    <row r="23" spans="1:13" ht="15.75" thickBot="1" x14ac:dyDescent="0.3">
      <c r="A23" s="2" t="s">
        <v>28</v>
      </c>
      <c r="B23" s="25" t="s">
        <v>29</v>
      </c>
      <c r="C23" s="73">
        <v>12000</v>
      </c>
      <c r="D23" s="56">
        <v>0</v>
      </c>
      <c r="E23" s="56">
        <f>D23*1.05</f>
        <v>0</v>
      </c>
      <c r="F23" s="56">
        <f>E23*1.05</f>
        <v>0</v>
      </c>
      <c r="G23" s="14"/>
      <c r="H23" s="18" t="s">
        <v>38</v>
      </c>
      <c r="I23" s="25" t="s">
        <v>39</v>
      </c>
      <c r="J23" s="69">
        <f>4000+3850</f>
        <v>7850</v>
      </c>
      <c r="K23" s="57">
        <v>0</v>
      </c>
      <c r="L23" s="57">
        <v>0</v>
      </c>
      <c r="M23" s="57">
        <v>0</v>
      </c>
    </row>
    <row r="24" spans="1:13" ht="15.75" thickBot="1" x14ac:dyDescent="0.3">
      <c r="A24" s="9" t="s">
        <v>53</v>
      </c>
      <c r="B24" s="42" t="s">
        <v>70</v>
      </c>
      <c r="C24" s="36">
        <f>SUM(C21:C23)</f>
        <v>591882</v>
      </c>
      <c r="D24" s="36">
        <f>SUM(D21:D23)</f>
        <v>40000</v>
      </c>
      <c r="E24" s="36">
        <f>SUM(E21:E23)</f>
        <v>40000</v>
      </c>
      <c r="F24" s="36">
        <f>SUM(F21:F23)</f>
        <v>40000</v>
      </c>
      <c r="G24" s="15"/>
      <c r="H24" s="9" t="s">
        <v>53</v>
      </c>
      <c r="I24" s="33" t="s">
        <v>68</v>
      </c>
      <c r="J24" s="37">
        <f>SUM(J21:J23)</f>
        <v>1485621</v>
      </c>
      <c r="K24" s="37">
        <f>SUM(K21:K23)</f>
        <v>57548</v>
      </c>
      <c r="L24" s="37">
        <f>SUM(L21:L23)</f>
        <v>58424.15</v>
      </c>
      <c r="M24" s="10">
        <f>SUM(M21:M23)</f>
        <v>59345.057500000003</v>
      </c>
    </row>
    <row r="25" spans="1:13" x14ac:dyDescent="0.25">
      <c r="A25" s="3"/>
      <c r="B25" s="27"/>
      <c r="C25" s="63"/>
      <c r="D25" s="63"/>
      <c r="E25" s="59"/>
      <c r="F25" s="59"/>
      <c r="G25" s="12"/>
      <c r="H25" s="19" t="s">
        <v>25</v>
      </c>
      <c r="I25" s="32" t="s">
        <v>76</v>
      </c>
      <c r="J25" s="45">
        <v>4205</v>
      </c>
      <c r="K25" s="56">
        <f t="shared" ref="K25" si="7">J25*1.05</f>
        <v>4415.25</v>
      </c>
      <c r="L25" s="56">
        <f t="shared" ref="L25" si="8">K25*1.05</f>
        <v>4636.0124999999998</v>
      </c>
      <c r="M25" s="56">
        <f t="shared" ref="M25" si="9">L25*1.05</f>
        <v>4867.8131249999997</v>
      </c>
    </row>
    <row r="26" spans="1:13" ht="15.75" thickBot="1" x14ac:dyDescent="0.3">
      <c r="A26" s="5" t="s">
        <v>24</v>
      </c>
      <c r="B26" s="26" t="s">
        <v>65</v>
      </c>
      <c r="C26" s="58">
        <v>804205</v>
      </c>
      <c r="D26" s="58">
        <f>4205*1.05</f>
        <v>4415.25</v>
      </c>
      <c r="E26" s="56">
        <f t="shared" ref="E26:F26" si="10">D26*1.05</f>
        <v>4636.0124999999998</v>
      </c>
      <c r="F26" s="56">
        <f t="shared" si="10"/>
        <v>4867.8131249999997</v>
      </c>
      <c r="G26" s="14"/>
      <c r="H26" s="19" t="s">
        <v>25</v>
      </c>
      <c r="I26" s="32" t="s">
        <v>74</v>
      </c>
      <c r="J26" s="47">
        <v>0</v>
      </c>
      <c r="K26" s="58">
        <v>25000</v>
      </c>
      <c r="L26" s="58">
        <v>25000</v>
      </c>
      <c r="M26" s="53">
        <v>58000</v>
      </c>
    </row>
    <row r="27" spans="1:13" ht="15.75" thickBot="1" x14ac:dyDescent="0.3">
      <c r="A27" s="9" t="s">
        <v>52</v>
      </c>
      <c r="B27" s="42" t="s">
        <v>69</v>
      </c>
      <c r="C27" s="36">
        <f>C26</f>
        <v>804205</v>
      </c>
      <c r="D27" s="36">
        <f>D26</f>
        <v>4415.25</v>
      </c>
      <c r="E27" s="36">
        <f>E26</f>
        <v>4636.0124999999998</v>
      </c>
      <c r="F27" s="36">
        <f>F26</f>
        <v>4867.8131249999997</v>
      </c>
      <c r="G27" s="15"/>
      <c r="H27" s="9" t="s">
        <v>52</v>
      </c>
      <c r="I27" s="33" t="s">
        <v>43</v>
      </c>
      <c r="J27" s="48">
        <f>J25+J26</f>
        <v>4205</v>
      </c>
      <c r="K27" s="48">
        <f t="shared" ref="K27:M27" si="11">K25+K26</f>
        <v>29415.25</v>
      </c>
      <c r="L27" s="48">
        <f t="shared" si="11"/>
        <v>29636.012500000001</v>
      </c>
      <c r="M27" s="36">
        <f t="shared" si="11"/>
        <v>62867.813125000001</v>
      </c>
    </row>
    <row r="28" spans="1:13" x14ac:dyDescent="0.25">
      <c r="A28" s="3"/>
      <c r="B28" s="27" t="s">
        <v>44</v>
      </c>
      <c r="C28" s="63">
        <v>0</v>
      </c>
      <c r="D28" s="63">
        <v>0</v>
      </c>
      <c r="E28" s="59">
        <v>0</v>
      </c>
      <c r="F28" s="59">
        <v>0</v>
      </c>
      <c r="G28" s="12"/>
      <c r="H28" s="20"/>
      <c r="I28" s="34"/>
      <c r="J28" s="45"/>
      <c r="K28" s="59"/>
      <c r="L28" s="59"/>
      <c r="M28" s="52">
        <v>0</v>
      </c>
    </row>
    <row r="29" spans="1:13" ht="15.75" thickBot="1" x14ac:dyDescent="0.3">
      <c r="A29" s="6"/>
      <c r="B29" s="28"/>
      <c r="C29" s="64"/>
      <c r="D29" s="64"/>
      <c r="E29" s="66"/>
      <c r="F29" s="66"/>
      <c r="G29" s="16"/>
      <c r="H29" s="21"/>
      <c r="I29" s="35"/>
      <c r="J29" s="49">
        <v>0</v>
      </c>
      <c r="K29" s="60">
        <v>0</v>
      </c>
      <c r="L29" s="60">
        <v>0</v>
      </c>
      <c r="M29" s="54">
        <v>0</v>
      </c>
    </row>
    <row r="30" spans="1:13" ht="15.75" thickBot="1" x14ac:dyDescent="0.3">
      <c r="A30" s="9" t="s">
        <v>51</v>
      </c>
      <c r="B30" s="42" t="s">
        <v>71</v>
      </c>
      <c r="C30" s="36">
        <f>C24+C27</f>
        <v>1396087</v>
      </c>
      <c r="D30" s="36">
        <f>D24+D27</f>
        <v>44415.25</v>
      </c>
      <c r="E30" s="36">
        <f>E24+E27</f>
        <v>44636.012499999997</v>
      </c>
      <c r="F30" s="36">
        <f>F24+F27</f>
        <v>44867.813125000001</v>
      </c>
      <c r="G30" s="15"/>
      <c r="H30" s="9" t="s">
        <v>51</v>
      </c>
      <c r="I30" s="33" t="s">
        <v>45</v>
      </c>
      <c r="J30" s="37">
        <f>J24+J27</f>
        <v>1489826</v>
      </c>
      <c r="K30" s="37">
        <f>K24+K27</f>
        <v>86963.25</v>
      </c>
      <c r="L30" s="37">
        <f>L24+L27</f>
        <v>88060.162500000006</v>
      </c>
      <c r="M30" s="10">
        <f>M24+M27</f>
        <v>122212.87062500001</v>
      </c>
    </row>
    <row r="31" spans="1:13" ht="15.75" thickBot="1" x14ac:dyDescent="0.3">
      <c r="A31" s="9" t="s">
        <v>50</v>
      </c>
      <c r="B31" s="42" t="s">
        <v>46</v>
      </c>
      <c r="C31" s="36">
        <f>C14+C24</f>
        <v>1223696</v>
      </c>
      <c r="D31" s="36">
        <f>D14+D24</f>
        <v>643354.70000000007</v>
      </c>
      <c r="E31" s="36">
        <f>E14+E24</f>
        <v>672272.43499999994</v>
      </c>
      <c r="F31" s="36">
        <f>F14+F24</f>
        <v>680636.05675000011</v>
      </c>
      <c r="G31" s="15"/>
      <c r="H31" s="9" t="s">
        <v>50</v>
      </c>
      <c r="I31" s="33" t="s">
        <v>58</v>
      </c>
      <c r="J31" s="37">
        <f>J14+J24</f>
        <v>2136363</v>
      </c>
      <c r="K31" s="37">
        <f>K14+K24</f>
        <v>618354.35</v>
      </c>
      <c r="L31" s="37">
        <f>L14+L24</f>
        <v>647271.8175</v>
      </c>
      <c r="M31" s="10">
        <f>M14+M24</f>
        <v>622635.10837500007</v>
      </c>
    </row>
    <row r="32" spans="1:13" ht="15.75" thickBot="1" x14ac:dyDescent="0.3">
      <c r="A32" s="9" t="s">
        <v>49</v>
      </c>
      <c r="B32" s="42" t="s">
        <v>47</v>
      </c>
      <c r="C32" s="36">
        <f>C17+C27</f>
        <v>1371103</v>
      </c>
      <c r="D32" s="36">
        <f>D17+D27</f>
        <v>216695.85</v>
      </c>
      <c r="E32" s="36">
        <f>E17+E27</f>
        <v>227530.64250000002</v>
      </c>
      <c r="F32" s="36">
        <f>F17+F27</f>
        <v>238907.17462500001</v>
      </c>
      <c r="G32" s="15"/>
      <c r="H32" s="9" t="s">
        <v>49</v>
      </c>
      <c r="I32" s="33" t="s">
        <v>59</v>
      </c>
      <c r="J32" s="37">
        <f>J17+J27</f>
        <v>458436</v>
      </c>
      <c r="K32" s="37">
        <f>K17+K27</f>
        <v>241695.85</v>
      </c>
      <c r="L32" s="37">
        <f>L17+L27</f>
        <v>252530.64250000002</v>
      </c>
      <c r="M32" s="10">
        <f>M17+M27</f>
        <v>296907.17462500004</v>
      </c>
    </row>
    <row r="33" spans="1:13" ht="15.75" thickBot="1" x14ac:dyDescent="0.3">
      <c r="A33" s="9" t="s">
        <v>48</v>
      </c>
      <c r="B33" s="42" t="s">
        <v>57</v>
      </c>
      <c r="C33" s="36">
        <f>C19+C30</f>
        <v>2594799</v>
      </c>
      <c r="D33" s="36">
        <f>D19+D30</f>
        <v>860050.55</v>
      </c>
      <c r="E33" s="36">
        <f>E19+E30</f>
        <v>899803.0774999999</v>
      </c>
      <c r="F33" s="36">
        <f>F19+F30</f>
        <v>919543.23137500009</v>
      </c>
      <c r="G33" s="15"/>
      <c r="H33" s="9" t="s">
        <v>48</v>
      </c>
      <c r="I33" s="33" t="s">
        <v>60</v>
      </c>
      <c r="J33" s="37">
        <f>J19+J30</f>
        <v>2594799</v>
      </c>
      <c r="K33" s="37">
        <f>K19+K30+1</f>
        <v>860051.2</v>
      </c>
      <c r="L33" s="37">
        <f>L19+L30+1</f>
        <v>899803.46</v>
      </c>
      <c r="M33" s="10">
        <f>M19+M30+1</f>
        <v>919543.28300000005</v>
      </c>
    </row>
    <row r="34" spans="1:13" x14ac:dyDescent="0.25">
      <c r="A34" s="67" t="s">
        <v>79</v>
      </c>
    </row>
    <row r="35" spans="1:13" x14ac:dyDescent="0.25">
      <c r="K35" s="1"/>
    </row>
  </sheetData>
  <mergeCells count="9">
    <mergeCell ref="A4:F4"/>
    <mergeCell ref="H4:M4"/>
    <mergeCell ref="A2:M2"/>
    <mergeCell ref="B5:B6"/>
    <mergeCell ref="H5:H6"/>
    <mergeCell ref="I5:I6"/>
    <mergeCell ref="A5:A6"/>
    <mergeCell ref="C5:F5"/>
    <mergeCell ref="J5:M5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11.sz.m.-3 éves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2017-03-27T07:53:00Z</cp:lastPrinted>
  <dcterms:created xsi:type="dcterms:W3CDTF">2014-02-09T07:06:29Z</dcterms:created>
  <dcterms:modified xsi:type="dcterms:W3CDTF">2017-11-09T05:02:45Z</dcterms:modified>
</cp:coreProperties>
</file>