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illagK\Desktop\Költségvetés egybeszerkesztve 2017. novemberével\"/>
    </mc:Choice>
  </mc:AlternateContent>
  <bookViews>
    <workbookView xWindow="0" yWindow="0" windowWidth="17970" windowHeight="2985"/>
  </bookViews>
  <sheets>
    <sheet name="2.sz.m.-mérleg" sheetId="1" r:id="rId1"/>
    <sheet name="2.a.sz.mérleg-int.bontás" sheetId="4" r:id="rId2"/>
    <sheet name="Munka2" sheetId="2" r:id="rId3"/>
    <sheet name="Munka3" sheetId="3" r:id="rId4"/>
  </sheets>
  <calcPr calcId="162913"/>
</workbook>
</file>

<file path=xl/calcChain.xml><?xml version="1.0" encoding="utf-8"?>
<calcChain xmlns="http://schemas.openxmlformats.org/spreadsheetml/2006/main">
  <c r="D27" i="1" l="1"/>
  <c r="D16" i="1"/>
  <c r="U17" i="4" l="1"/>
  <c r="X9" i="4"/>
  <c r="H7" i="4"/>
  <c r="K17" i="4"/>
  <c r="I16" i="1"/>
  <c r="I8" i="1"/>
  <c r="D6" i="1"/>
  <c r="I11" i="1" l="1"/>
  <c r="U22" i="4" l="1"/>
  <c r="U12" i="4"/>
  <c r="U11" i="4"/>
  <c r="I10" i="1"/>
  <c r="I21" i="1"/>
  <c r="V7" i="4" l="1"/>
  <c r="V8" i="4"/>
  <c r="V9" i="4"/>
  <c r="W8" i="4"/>
  <c r="W7" i="4"/>
  <c r="X8" i="4"/>
  <c r="X7" i="4"/>
  <c r="U9" i="4"/>
  <c r="U24" i="4"/>
  <c r="L28" i="4"/>
  <c r="U23" i="4"/>
  <c r="I22" i="1"/>
  <c r="Y16" i="4"/>
  <c r="U18" i="4"/>
  <c r="U10" i="4"/>
  <c r="U8" i="4"/>
  <c r="U7" i="4"/>
  <c r="K18" i="4"/>
  <c r="J17" i="4"/>
  <c r="J18" i="4"/>
  <c r="I17" i="4"/>
  <c r="I18" i="4" s="1"/>
  <c r="H18" i="4"/>
  <c r="L16" i="4"/>
  <c r="I9" i="4"/>
  <c r="D15" i="1"/>
  <c r="H9" i="4"/>
  <c r="H22" i="4"/>
  <c r="I6" i="1"/>
  <c r="I9" i="1"/>
  <c r="I7" i="1"/>
  <c r="I17" i="1"/>
  <c r="D21" i="1"/>
  <c r="D8" i="1"/>
  <c r="I23" i="1"/>
  <c r="D17" i="1" l="1"/>
  <c r="W9" i="4"/>
  <c r="Y14" i="4" l="1"/>
  <c r="P12" i="4"/>
  <c r="T12" i="4" s="1"/>
  <c r="Y12" i="4"/>
  <c r="V15" i="4" l="1"/>
  <c r="Y9" i="4"/>
  <c r="Y17" i="4"/>
  <c r="Y18" i="4" s="1"/>
  <c r="K33" i="4"/>
  <c r="C7" i="4"/>
  <c r="X28" i="4"/>
  <c r="W28" i="4"/>
  <c r="V28" i="4"/>
  <c r="U28" i="4"/>
  <c r="Y27" i="4"/>
  <c r="Y28" i="4" s="1"/>
  <c r="X25" i="4"/>
  <c r="W25" i="4"/>
  <c r="W31" i="4" s="1"/>
  <c r="V25" i="4"/>
  <c r="Y24" i="4"/>
  <c r="Y23" i="4"/>
  <c r="U25" i="4"/>
  <c r="X18" i="4"/>
  <c r="W18" i="4"/>
  <c r="W33" i="4" s="1"/>
  <c r="V18" i="4"/>
  <c r="Y13" i="4"/>
  <c r="Y11" i="4"/>
  <c r="Y10" i="4"/>
  <c r="K28" i="4"/>
  <c r="J28" i="4"/>
  <c r="I28" i="4"/>
  <c r="L27" i="4"/>
  <c r="K25" i="4"/>
  <c r="J25" i="4"/>
  <c r="I25" i="4"/>
  <c r="H25" i="4"/>
  <c r="L24" i="4"/>
  <c r="L23" i="4"/>
  <c r="L22" i="4"/>
  <c r="K15" i="4"/>
  <c r="J15" i="4"/>
  <c r="I15" i="4"/>
  <c r="L10" i="4"/>
  <c r="L9" i="4"/>
  <c r="L8" i="4"/>
  <c r="H15" i="4"/>
  <c r="I24" i="1"/>
  <c r="D32" i="1"/>
  <c r="D14" i="1"/>
  <c r="I27" i="1"/>
  <c r="I32" i="1"/>
  <c r="D24" i="1"/>
  <c r="D30" i="1" s="1"/>
  <c r="I30" i="1" l="1"/>
  <c r="W15" i="4"/>
  <c r="W20" i="4" s="1"/>
  <c r="W34" i="4" s="1"/>
  <c r="D31" i="1"/>
  <c r="U33" i="4"/>
  <c r="U31" i="4"/>
  <c r="V31" i="4"/>
  <c r="X31" i="4"/>
  <c r="I33" i="4"/>
  <c r="Y8" i="4"/>
  <c r="I31" i="4"/>
  <c r="K31" i="4"/>
  <c r="V32" i="4"/>
  <c r="V33" i="4"/>
  <c r="X33" i="4"/>
  <c r="Y33" i="4"/>
  <c r="X15" i="4"/>
  <c r="X32" i="4" s="1"/>
  <c r="U15" i="4"/>
  <c r="U32" i="4" s="1"/>
  <c r="Y7" i="4"/>
  <c r="L17" i="4"/>
  <c r="J20" i="4"/>
  <c r="Y22" i="4"/>
  <c r="Y25" i="4" s="1"/>
  <c r="Y31" i="4" s="1"/>
  <c r="I32" i="4"/>
  <c r="K32" i="4"/>
  <c r="H33" i="4"/>
  <c r="J33" i="4"/>
  <c r="L25" i="4"/>
  <c r="L31" i="4" s="1"/>
  <c r="H31" i="4"/>
  <c r="J31" i="4"/>
  <c r="H32" i="4"/>
  <c r="H20" i="4"/>
  <c r="J32" i="4"/>
  <c r="L7" i="4"/>
  <c r="L15" i="4" s="1"/>
  <c r="I20" i="4"/>
  <c r="I34" i="4" s="1"/>
  <c r="K20" i="4"/>
  <c r="I14" i="1"/>
  <c r="I31" i="1" s="1"/>
  <c r="D19" i="1"/>
  <c r="D33" i="1" s="1"/>
  <c r="P22" i="4"/>
  <c r="C6" i="1"/>
  <c r="H11" i="1"/>
  <c r="L18" i="4" l="1"/>
  <c r="L20" i="4" s="1"/>
  <c r="L34" i="4" s="1"/>
  <c r="U20" i="4"/>
  <c r="U34" i="4" s="1"/>
  <c r="W32" i="4"/>
  <c r="K34" i="4"/>
  <c r="J34" i="4"/>
  <c r="Y15" i="4"/>
  <c r="Y20" i="4" s="1"/>
  <c r="Y34" i="4" s="1"/>
  <c r="V20" i="4"/>
  <c r="V34" i="4" s="1"/>
  <c r="X20" i="4"/>
  <c r="X34" i="4" s="1"/>
  <c r="H34" i="4"/>
  <c r="L32" i="4"/>
  <c r="I19" i="1"/>
  <c r="I33" i="1" s="1"/>
  <c r="S28" i="4"/>
  <c r="R28" i="4"/>
  <c r="Q28" i="4"/>
  <c r="P28" i="4"/>
  <c r="S25" i="4"/>
  <c r="S31" i="4" s="1"/>
  <c r="R25" i="4"/>
  <c r="R31" i="4" s="1"/>
  <c r="Q25" i="4"/>
  <c r="P25" i="4"/>
  <c r="S18" i="4"/>
  <c r="S33" i="4" s="1"/>
  <c r="R18" i="4"/>
  <c r="Q18" i="4"/>
  <c r="P18" i="4"/>
  <c r="S15" i="4"/>
  <c r="S32" i="4" s="1"/>
  <c r="R15" i="4"/>
  <c r="R20" i="4" s="1"/>
  <c r="Q15" i="4"/>
  <c r="Q20" i="4" s="1"/>
  <c r="P15" i="4"/>
  <c r="P20" i="4" s="1"/>
  <c r="F28" i="4"/>
  <c r="E28" i="4"/>
  <c r="D28" i="4"/>
  <c r="C28" i="4"/>
  <c r="F25" i="4"/>
  <c r="E25" i="4"/>
  <c r="D25" i="4"/>
  <c r="C25" i="4"/>
  <c r="F18" i="4"/>
  <c r="E18" i="4"/>
  <c r="D18" i="4"/>
  <c r="C18" i="4"/>
  <c r="F15" i="4"/>
  <c r="E15" i="4"/>
  <c r="D15" i="4"/>
  <c r="C15" i="4"/>
  <c r="T27" i="4"/>
  <c r="T28" i="4" s="1"/>
  <c r="T24" i="4"/>
  <c r="T23" i="4"/>
  <c r="T22" i="4"/>
  <c r="T17" i="4"/>
  <c r="T18" i="4" s="1"/>
  <c r="T13" i="4"/>
  <c r="T11" i="4"/>
  <c r="T10" i="4"/>
  <c r="T9" i="4"/>
  <c r="T8" i="4"/>
  <c r="T7" i="4"/>
  <c r="G27" i="4"/>
  <c r="G28" i="4" s="1"/>
  <c r="G24" i="4"/>
  <c r="G23" i="4"/>
  <c r="G22" i="4"/>
  <c r="G17" i="4"/>
  <c r="G18" i="4" s="1"/>
  <c r="G10" i="4"/>
  <c r="G9" i="4"/>
  <c r="G8" i="4"/>
  <c r="G7" i="4"/>
  <c r="H14" i="1"/>
  <c r="L33" i="4" l="1"/>
  <c r="Y32" i="4"/>
  <c r="D20" i="4"/>
  <c r="F33" i="4"/>
  <c r="D33" i="4"/>
  <c r="T25" i="4"/>
  <c r="T31" i="4" s="1"/>
  <c r="E32" i="4"/>
  <c r="D32" i="4"/>
  <c r="G25" i="4"/>
  <c r="G31" i="4" s="1"/>
  <c r="F32" i="4"/>
  <c r="C31" i="4"/>
  <c r="C32" i="4"/>
  <c r="F20" i="4"/>
  <c r="E20" i="4"/>
  <c r="R33" i="4"/>
  <c r="Q33" i="4"/>
  <c r="P33" i="4"/>
  <c r="P31" i="4"/>
  <c r="S20" i="4"/>
  <c r="S34" i="4" s="1"/>
  <c r="R32" i="4"/>
  <c r="R34" i="4"/>
  <c r="Q32" i="4"/>
  <c r="P32" i="4"/>
  <c r="P34" i="4"/>
  <c r="E33" i="4"/>
  <c r="F31" i="4"/>
  <c r="E31" i="4"/>
  <c r="D31" i="4"/>
  <c r="Q31" i="4"/>
  <c r="Q34" i="4" s="1"/>
  <c r="G33" i="4"/>
  <c r="C33" i="4"/>
  <c r="C20" i="4"/>
  <c r="C34" i="4" s="1"/>
  <c r="G15" i="4"/>
  <c r="G20" i="4" s="1"/>
  <c r="T33" i="4"/>
  <c r="T15" i="4"/>
  <c r="D34" i="4" l="1"/>
  <c r="T32" i="4"/>
  <c r="F34" i="4"/>
  <c r="E34" i="4"/>
  <c r="G34" i="4"/>
  <c r="G32" i="4"/>
  <c r="T20" i="4"/>
  <c r="T34" i="4" s="1"/>
  <c r="C14" i="1"/>
  <c r="H24" i="1"/>
  <c r="H27" i="1"/>
  <c r="C27" i="1"/>
  <c r="C24" i="1"/>
  <c r="H17" i="1"/>
  <c r="C17" i="1"/>
  <c r="H32" i="1" l="1"/>
  <c r="H30" i="1"/>
  <c r="C19" i="1"/>
  <c r="C31" i="1"/>
  <c r="C32" i="1"/>
  <c r="C30" i="1"/>
  <c r="H31" i="1"/>
  <c r="H19" i="1"/>
  <c r="H33" i="1" s="1"/>
  <c r="C33" i="1" l="1"/>
</calcChain>
</file>

<file path=xl/sharedStrings.xml><?xml version="1.0" encoding="utf-8"?>
<sst xmlns="http://schemas.openxmlformats.org/spreadsheetml/2006/main" count="216" uniqueCount="90">
  <si>
    <t xml:space="preserve">Megnevezés </t>
  </si>
  <si>
    <t>Előirányzat</t>
  </si>
  <si>
    <t>Bevétel</t>
  </si>
  <si>
    <t>Rovatkód</t>
  </si>
  <si>
    <t>Kiadás</t>
  </si>
  <si>
    <t>B1</t>
  </si>
  <si>
    <t>B3</t>
  </si>
  <si>
    <t>Közhatalmi bevételek</t>
  </si>
  <si>
    <t>B4</t>
  </si>
  <si>
    <t>Működési bevételek</t>
  </si>
  <si>
    <t>B2</t>
  </si>
  <si>
    <t>K1</t>
  </si>
  <si>
    <t>K2</t>
  </si>
  <si>
    <t>K3</t>
  </si>
  <si>
    <t>K4</t>
  </si>
  <si>
    <t>Személyi juttatások</t>
  </si>
  <si>
    <t>Dologi kiadások</t>
  </si>
  <si>
    <t>Ellátottak pénzbeli juttatásai</t>
  </si>
  <si>
    <t>K5</t>
  </si>
  <si>
    <t>Egyéb működési célú kiadások</t>
  </si>
  <si>
    <t>Ebből:            - Általános tartalék</t>
  </si>
  <si>
    <t xml:space="preserve">                         - Céltartalék</t>
  </si>
  <si>
    <t>Működési költségvetési bevételek összesen</t>
  </si>
  <si>
    <t>Működési költségvetési kiadások összesen</t>
  </si>
  <si>
    <t>B8</t>
  </si>
  <si>
    <t>K9</t>
  </si>
  <si>
    <t>B5</t>
  </si>
  <si>
    <t>Felhalmozási bevételek</t>
  </si>
  <si>
    <t>B7</t>
  </si>
  <si>
    <t>Felhalmozási célú átvett pénzeszközök</t>
  </si>
  <si>
    <t>B6</t>
  </si>
  <si>
    <t>Működési célú átvett pénzeszközök</t>
  </si>
  <si>
    <t>Felhalmozási költségvetési bevételek összesen</t>
  </si>
  <si>
    <t>Működési bevételek összesen (A+B)</t>
  </si>
  <si>
    <t>Működési kiadások összesen (A+B)</t>
  </si>
  <si>
    <t>Felhalmozási költségvetési kiadások összesen</t>
  </si>
  <si>
    <t>K6</t>
  </si>
  <si>
    <t>Beruházások</t>
  </si>
  <si>
    <t>K7</t>
  </si>
  <si>
    <t>Felújítások</t>
  </si>
  <si>
    <t>K8</t>
  </si>
  <si>
    <t>Egyéb felhalmoási célú kiadások</t>
  </si>
  <si>
    <t>Működési célú finanszírozási bevételek</t>
  </si>
  <si>
    <t>Működési c. finanszírozási bevételek összesen</t>
  </si>
  <si>
    <t>Működési célú fianszírozási kiadások</t>
  </si>
  <si>
    <t>Működési c.finanszírozási kiadások összesen</t>
  </si>
  <si>
    <t>Felhalmozási célú fianszírozási kiadások</t>
  </si>
  <si>
    <t>Felhalm. c.finanszírozási kiadások összesen</t>
  </si>
  <si>
    <t>Felhalm. c. finanszírozási bevételek összesen</t>
  </si>
  <si>
    <t>Ebből:      - maradvány igénybevétele</t>
  </si>
  <si>
    <t>Felhalmozási célú bevételek összesen (D+E)</t>
  </si>
  <si>
    <t>Felhalmozási célú kiadások összesen (D+E)</t>
  </si>
  <si>
    <t>Költségvetési bevételek összesen (A+D)</t>
  </si>
  <si>
    <t>Finanszírozási bevételek összesen (B+E)</t>
  </si>
  <si>
    <t>I.</t>
  </si>
  <si>
    <t>H.</t>
  </si>
  <si>
    <t>G.</t>
  </si>
  <si>
    <t>F.</t>
  </si>
  <si>
    <t>E.</t>
  </si>
  <si>
    <t>D.</t>
  </si>
  <si>
    <t>C.</t>
  </si>
  <si>
    <t>B.</t>
  </si>
  <si>
    <t>A.</t>
  </si>
  <si>
    <t>Bevételek mindösszesen (C+F)</t>
  </si>
  <si>
    <t>Költségvetési kiadások összesen (A+D)</t>
  </si>
  <si>
    <t>Finanszírozási kiadások összesen (B+E)</t>
  </si>
  <si>
    <t>Kiadások mindösszesen (C+F)</t>
  </si>
  <si>
    <t>e Forint</t>
  </si>
  <si>
    <t>Munkaadókat terhelő jár. és SZOCHO</t>
  </si>
  <si>
    <t>Felhalmozási célú támogatásoki áht-n b.</t>
  </si>
  <si>
    <t>Működési célú támogatásoki áht-n bel.</t>
  </si>
  <si>
    <t>Felhalmozási célú finanszírozási bev.</t>
  </si>
  <si>
    <t>Pilisborosjenő Község Önkormányzat 2017. évi költségvetési mérlege</t>
  </si>
  <si>
    <t>Önkormányzat</t>
  </si>
  <si>
    <t>Mesevölgy Óvoda</t>
  </si>
  <si>
    <t>Reichel J.Műv.Ház</t>
  </si>
  <si>
    <t>2017. évi eredeti előirányzat</t>
  </si>
  <si>
    <t>Összesen</t>
  </si>
  <si>
    <t>Polg. Hivatal</t>
  </si>
  <si>
    <t>Eredeti előirányzat</t>
  </si>
  <si>
    <t>Módosított előirányzat</t>
  </si>
  <si>
    <t>2017. évi módosított előirányzat</t>
  </si>
  <si>
    <t xml:space="preserve">                         - Polgármesteri Keret</t>
  </si>
  <si>
    <t>Pilisborosjenő, 2017. november 16.</t>
  </si>
  <si>
    <t>Pénzmaradvány igénybevétele</t>
  </si>
  <si>
    <t>Kincstárjegy vétel</t>
  </si>
  <si>
    <t>Kincstárjegy visszavétel</t>
  </si>
  <si>
    <t>Műk.c.finansz.bev./Kincstárjegy visszavétel</t>
  </si>
  <si>
    <t>2 .a.sz. melléklet</t>
  </si>
  <si>
    <t>2 .sz.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</si>
</sst>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3" xfId="0" applyNumberFormat="1" applyBorder="1"/>
    <xf numFmtId="3" fontId="0" fillId="0" borderId="6" xfId="0" applyNumberFormat="1" applyBorder="1"/>
    <xf numFmtId="3" fontId="1" fillId="0" borderId="7" xfId="0" applyNumberFormat="1" applyFont="1" applyBorder="1" applyAlignment="1">
      <alignment horizontal="center" vertical="center"/>
    </xf>
    <xf numFmtId="3" fontId="0" fillId="0" borderId="10" xfId="0" applyNumberFormat="1" applyBorder="1"/>
    <xf numFmtId="0" fontId="0" fillId="0" borderId="11" xfId="0" applyBorder="1"/>
    <xf numFmtId="3" fontId="0" fillId="0" borderId="13" xfId="0" applyNumberFormat="1" applyBorder="1"/>
    <xf numFmtId="3" fontId="0" fillId="0" borderId="16" xfId="0" applyNumberFormat="1" applyBorder="1"/>
    <xf numFmtId="0" fontId="1" fillId="0" borderId="17" xfId="0" applyFont="1" applyBorder="1"/>
    <xf numFmtId="3" fontId="1" fillId="0" borderId="19" xfId="0" applyNumberFormat="1" applyFont="1" applyBorder="1"/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1" fillId="0" borderId="20" xfId="0" applyFont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0" borderId="24" xfId="0" applyFont="1" applyBorder="1"/>
    <xf numFmtId="0" fontId="0" fillId="0" borderId="25" xfId="0" applyBorder="1"/>
    <xf numFmtId="3" fontId="0" fillId="0" borderId="26" xfId="0" applyNumberFormat="1" applyBorder="1"/>
    <xf numFmtId="3" fontId="0" fillId="0" borderId="27" xfId="0" applyNumberFormat="1" applyBorder="1"/>
    <xf numFmtId="3" fontId="0" fillId="0" borderId="28" xfId="0" applyNumberFormat="1" applyBorder="1"/>
    <xf numFmtId="3" fontId="1" fillId="0" borderId="29" xfId="0" applyNumberFormat="1" applyFont="1" applyBorder="1"/>
    <xf numFmtId="3" fontId="0" fillId="0" borderId="0" xfId="0" applyNumberFormat="1" applyBorder="1"/>
    <xf numFmtId="3" fontId="0" fillId="0" borderId="14" xfId="0" applyNumberFormat="1" applyBorder="1"/>
    <xf numFmtId="0" fontId="0" fillId="0" borderId="30" xfId="0" applyBorder="1"/>
    <xf numFmtId="3" fontId="0" fillId="0" borderId="2" xfId="0" applyNumberFormat="1" applyBorder="1"/>
    <xf numFmtId="3" fontId="0" fillId="0" borderId="8" xfId="0" applyNumberFormat="1" applyBorder="1"/>
    <xf numFmtId="3" fontId="0" fillId="0" borderId="4" xfId="0" applyNumberFormat="1" applyBorder="1"/>
    <xf numFmtId="3" fontId="0" fillId="0" borderId="11" xfId="0" applyNumberFormat="1" applyBorder="1"/>
    <xf numFmtId="3" fontId="1" fillId="0" borderId="29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0" xfId="0" applyFill="1"/>
    <xf numFmtId="3" fontId="0" fillId="0" borderId="0" xfId="0" applyNumberFormat="1" applyFill="1"/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0" fontId="0" fillId="0" borderId="14" xfId="0" applyFill="1" applyBorder="1"/>
    <xf numFmtId="0" fontId="0" fillId="0" borderId="15" xfId="0" applyFill="1" applyBorder="1"/>
    <xf numFmtId="3" fontId="0" fillId="0" borderId="16" xfId="0" applyNumberFormat="1" applyFill="1" applyBorder="1"/>
    <xf numFmtId="0" fontId="0" fillId="0" borderId="2" xfId="0" applyFill="1" applyBorder="1"/>
    <xf numFmtId="0" fontId="0" fillId="0" borderId="1" xfId="0" applyFill="1" applyBorder="1"/>
    <xf numFmtId="3" fontId="0" fillId="0" borderId="3" xfId="0" applyNumberFormat="1" applyFill="1" applyBorder="1"/>
    <xf numFmtId="0" fontId="0" fillId="0" borderId="8" xfId="0" applyFill="1" applyBorder="1"/>
    <xf numFmtId="0" fontId="0" fillId="0" borderId="9" xfId="0" applyFill="1" applyBorder="1"/>
    <xf numFmtId="3" fontId="0" fillId="0" borderId="10" xfId="0" applyNumberForma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3" fontId="1" fillId="0" borderId="19" xfId="0" applyNumberFormat="1" applyFont="1" applyFill="1" applyBorder="1"/>
    <xf numFmtId="0" fontId="0" fillId="0" borderId="4" xfId="0" applyFill="1" applyBorder="1"/>
    <xf numFmtId="0" fontId="0" fillId="0" borderId="5" xfId="0" applyFill="1" applyBorder="1"/>
    <xf numFmtId="3" fontId="0" fillId="0" borderId="6" xfId="0" applyNumberFormat="1" applyFill="1" applyBorder="1"/>
    <xf numFmtId="0" fontId="0" fillId="0" borderId="11" xfId="0" applyFill="1" applyBorder="1"/>
    <xf numFmtId="0" fontId="0" fillId="0" borderId="12" xfId="0" applyFill="1" applyBorder="1"/>
    <xf numFmtId="3" fontId="0" fillId="0" borderId="13" xfId="0" applyNumberFormat="1" applyFill="1" applyBorder="1"/>
    <xf numFmtId="0" fontId="6" fillId="0" borderId="11" xfId="0" applyFont="1" applyFill="1" applyBorder="1"/>
    <xf numFmtId="3" fontId="1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ill="1" applyBorder="1"/>
    <xf numFmtId="3" fontId="0" fillId="0" borderId="34" xfId="0" applyNumberFormat="1" applyFill="1" applyBorder="1"/>
    <xf numFmtId="3" fontId="0" fillId="0" borderId="35" xfId="0" applyNumberFormat="1" applyFill="1" applyBorder="1"/>
    <xf numFmtId="3" fontId="0" fillId="0" borderId="36" xfId="0" applyNumberFormat="1" applyFill="1" applyBorder="1"/>
    <xf numFmtId="3" fontId="0" fillId="0" borderId="37" xfId="0" applyNumberFormat="1" applyFill="1" applyBorder="1"/>
    <xf numFmtId="3" fontId="0" fillId="0" borderId="27" xfId="0" applyNumberFormat="1" applyFill="1" applyBorder="1"/>
    <xf numFmtId="3" fontId="0" fillId="0" borderId="1" xfId="0" applyNumberFormat="1" applyBorder="1"/>
    <xf numFmtId="3" fontId="1" fillId="0" borderId="19" xfId="0" applyNumberFormat="1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3" fontId="0" fillId="0" borderId="47" xfId="0" applyNumberFormat="1" applyBorder="1"/>
    <xf numFmtId="3" fontId="0" fillId="0" borderId="0" xfId="0" applyNumberFormat="1" applyFill="1" applyBorder="1"/>
    <xf numFmtId="3" fontId="0" fillId="0" borderId="48" xfId="0" applyNumberFormat="1" applyBorder="1"/>
    <xf numFmtId="0" fontId="2" fillId="0" borderId="0" xfId="0" applyFont="1" applyAlignment="1">
      <alignment horizontal="center"/>
    </xf>
    <xf numFmtId="0" fontId="1" fillId="0" borderId="4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Normal="100" workbookViewId="0">
      <selection activeCell="B5" sqref="B5"/>
    </sheetView>
  </sheetViews>
  <sheetFormatPr defaultRowHeight="15" x14ac:dyDescent="0.25"/>
  <cols>
    <col min="1" max="1" width="9.7109375" style="34" customWidth="1"/>
    <col min="2" max="2" width="39.85546875" style="34" customWidth="1"/>
    <col min="3" max="4" width="14.42578125" style="35" customWidth="1"/>
    <col min="5" max="5" width="2.7109375" style="1" customWidth="1"/>
    <col min="6" max="6" width="9.85546875" style="1" customWidth="1"/>
    <col min="7" max="7" width="40" customWidth="1"/>
    <col min="8" max="9" width="14.42578125" style="1" customWidth="1"/>
  </cols>
  <sheetData>
    <row r="1" spans="1:11" x14ac:dyDescent="0.25">
      <c r="H1" s="12"/>
      <c r="I1" s="12" t="s">
        <v>89</v>
      </c>
    </row>
    <row r="2" spans="1:11" ht="18.75" x14ac:dyDescent="0.3">
      <c r="A2" s="71" t="s">
        <v>72</v>
      </c>
      <c r="B2" s="71"/>
      <c r="C2" s="71"/>
      <c r="D2" s="71"/>
      <c r="E2" s="71"/>
      <c r="F2" s="71"/>
      <c r="G2" s="71"/>
      <c r="H2" s="71"/>
      <c r="I2" s="71"/>
    </row>
    <row r="3" spans="1:11" ht="15.75" thickBot="1" x14ac:dyDescent="0.3">
      <c r="H3" s="13"/>
      <c r="I3" s="13" t="s">
        <v>67</v>
      </c>
    </row>
    <row r="4" spans="1:11" ht="15.75" thickBot="1" x14ac:dyDescent="0.3">
      <c r="A4" s="72" t="s">
        <v>2</v>
      </c>
      <c r="B4" s="73"/>
      <c r="C4" s="73"/>
      <c r="D4" s="73"/>
      <c r="E4" s="67"/>
      <c r="F4" s="74" t="s">
        <v>4</v>
      </c>
      <c r="G4" s="75"/>
      <c r="H4" s="75"/>
      <c r="I4" s="76"/>
    </row>
    <row r="5" spans="1:11" ht="29.25" customHeight="1" thickBot="1" x14ac:dyDescent="0.3">
      <c r="A5" s="36" t="s">
        <v>3</v>
      </c>
      <c r="B5" s="37" t="s">
        <v>0</v>
      </c>
      <c r="C5" s="66" t="s">
        <v>79</v>
      </c>
      <c r="D5" s="66" t="s">
        <v>80</v>
      </c>
      <c r="E5" s="31"/>
      <c r="F5" s="33" t="s">
        <v>3</v>
      </c>
      <c r="G5" s="14" t="s">
        <v>0</v>
      </c>
      <c r="H5" s="5" t="s">
        <v>1</v>
      </c>
      <c r="I5" s="66" t="s">
        <v>80</v>
      </c>
    </row>
    <row r="6" spans="1:11" x14ac:dyDescent="0.25">
      <c r="A6" s="39" t="s">
        <v>5</v>
      </c>
      <c r="B6" s="40" t="s">
        <v>70</v>
      </c>
      <c r="C6" s="41">
        <f>214118+124</f>
        <v>214242</v>
      </c>
      <c r="D6" s="41">
        <f>214118+124+693+1996+300+1000+400+640+212+1176+3295+340</f>
        <v>224294</v>
      </c>
      <c r="E6" s="20"/>
      <c r="F6" s="25" t="s">
        <v>11</v>
      </c>
      <c r="G6" s="26" t="s">
        <v>15</v>
      </c>
      <c r="H6" s="9">
        <v>175991</v>
      </c>
      <c r="I6" s="9">
        <f>175991+169+87+131+104+89+1313+655+66+52+950-400-503+1785+2310+1694+3210</f>
        <v>187703</v>
      </c>
    </row>
    <row r="7" spans="1:11" x14ac:dyDescent="0.25">
      <c r="A7" s="42" t="s">
        <v>6</v>
      </c>
      <c r="B7" s="43" t="s">
        <v>7</v>
      </c>
      <c r="C7" s="44">
        <v>331399</v>
      </c>
      <c r="D7" s="44">
        <v>331399</v>
      </c>
      <c r="E7" s="21"/>
      <c r="F7" s="27" t="s">
        <v>12</v>
      </c>
      <c r="G7" s="16" t="s">
        <v>68</v>
      </c>
      <c r="H7" s="3">
        <v>39219</v>
      </c>
      <c r="I7" s="3">
        <f>39219+32+16+29+23+13+289+145+14+12+393+508+292+380</f>
        <v>41365</v>
      </c>
    </row>
    <row r="8" spans="1:11" x14ac:dyDescent="0.25">
      <c r="A8" s="42" t="s">
        <v>8</v>
      </c>
      <c r="B8" s="43" t="s">
        <v>9</v>
      </c>
      <c r="C8" s="44">
        <v>72156</v>
      </c>
      <c r="D8" s="44">
        <f>72156+500+3465</f>
        <v>76121</v>
      </c>
      <c r="E8" s="21"/>
      <c r="F8" s="27" t="s">
        <v>13</v>
      </c>
      <c r="G8" s="16" t="s">
        <v>16</v>
      </c>
      <c r="H8" s="3">
        <v>150900</v>
      </c>
      <c r="I8" s="3">
        <f>150900+200+2500+5200+303-447+240+400+17+1778+994+332+1935-1474+624+1599+2992+111-5200-200+340</f>
        <v>163144</v>
      </c>
    </row>
    <row r="9" spans="1:11" x14ac:dyDescent="0.25">
      <c r="A9" s="42" t="s">
        <v>30</v>
      </c>
      <c r="B9" s="43" t="s">
        <v>31</v>
      </c>
      <c r="C9" s="44">
        <v>0</v>
      </c>
      <c r="D9" s="44">
        <v>0</v>
      </c>
      <c r="E9" s="21"/>
      <c r="F9" s="27" t="s">
        <v>14</v>
      </c>
      <c r="G9" s="16" t="s">
        <v>17</v>
      </c>
      <c r="H9" s="3">
        <v>21335</v>
      </c>
      <c r="I9" s="3">
        <f>21335+640</f>
        <v>21975</v>
      </c>
    </row>
    <row r="10" spans="1:11" x14ac:dyDescent="0.25">
      <c r="A10" s="42"/>
      <c r="B10" s="43"/>
      <c r="C10" s="44"/>
      <c r="D10" s="44"/>
      <c r="E10" s="21"/>
      <c r="F10" s="27" t="s">
        <v>18</v>
      </c>
      <c r="G10" s="16" t="s">
        <v>19</v>
      </c>
      <c r="H10" s="3">
        <v>230352</v>
      </c>
      <c r="I10" s="3">
        <f>165489+900-240+850+78645-9839-250+1000</f>
        <v>236555</v>
      </c>
      <c r="J10" s="1"/>
    </row>
    <row r="11" spans="1:11" x14ac:dyDescent="0.25">
      <c r="A11" s="42"/>
      <c r="B11" s="43"/>
      <c r="C11" s="44"/>
      <c r="D11" s="44"/>
      <c r="E11" s="21"/>
      <c r="F11" s="27"/>
      <c r="G11" s="16" t="s">
        <v>20</v>
      </c>
      <c r="H11" s="3">
        <f>H10-H13-23906</f>
        <v>206446</v>
      </c>
      <c r="I11" s="3">
        <f>38154-240+78645-9839-250+1000</f>
        <v>107470</v>
      </c>
      <c r="J11" s="1"/>
      <c r="K11" s="1"/>
    </row>
    <row r="12" spans="1:11" x14ac:dyDescent="0.25">
      <c r="A12" s="45"/>
      <c r="B12" s="46"/>
      <c r="C12" s="47"/>
      <c r="D12" s="47"/>
      <c r="E12" s="22"/>
      <c r="F12" s="28"/>
      <c r="G12" s="17" t="s">
        <v>21</v>
      </c>
      <c r="H12" s="6">
        <v>102829</v>
      </c>
      <c r="I12" s="6">
        <v>102829</v>
      </c>
    </row>
    <row r="13" spans="1:11" ht="15.75" thickBot="1" x14ac:dyDescent="0.3">
      <c r="A13" s="45"/>
      <c r="B13" s="46"/>
      <c r="C13" s="47"/>
      <c r="D13" s="47"/>
      <c r="E13" s="22"/>
      <c r="F13" s="28"/>
      <c r="G13" s="17" t="s">
        <v>82</v>
      </c>
      <c r="H13" s="6">
        <v>0</v>
      </c>
      <c r="I13" s="6">
        <v>500</v>
      </c>
    </row>
    <row r="14" spans="1:11" ht="15.75" thickBot="1" x14ac:dyDescent="0.3">
      <c r="A14" s="48" t="s">
        <v>62</v>
      </c>
      <c r="B14" s="49" t="s">
        <v>22</v>
      </c>
      <c r="C14" s="50">
        <f>C6+C7+C8+C9</f>
        <v>617797</v>
      </c>
      <c r="D14" s="50">
        <f>D6+D7+D8+D9</f>
        <v>631814</v>
      </c>
      <c r="E14" s="23"/>
      <c r="F14" s="10" t="s">
        <v>62</v>
      </c>
      <c r="G14" s="18" t="s">
        <v>23</v>
      </c>
      <c r="H14" s="11">
        <f>SUM(H6:H10)</f>
        <v>617797</v>
      </c>
      <c r="I14" s="11">
        <f>SUM(I6:I10)</f>
        <v>650742</v>
      </c>
    </row>
    <row r="15" spans="1:11" x14ac:dyDescent="0.25">
      <c r="A15" s="51" t="s">
        <v>24</v>
      </c>
      <c r="B15" s="52" t="s">
        <v>84</v>
      </c>
      <c r="C15" s="53">
        <v>0</v>
      </c>
      <c r="D15" s="53">
        <f>89615+111</f>
        <v>89726</v>
      </c>
      <c r="E15" s="20"/>
      <c r="F15" s="29" t="s">
        <v>25</v>
      </c>
      <c r="G15" s="15" t="s">
        <v>85</v>
      </c>
      <c r="H15" s="4"/>
      <c r="I15" s="4">
        <v>245000</v>
      </c>
    </row>
    <row r="16" spans="1:11" ht="15.75" thickBot="1" x14ac:dyDescent="0.3">
      <c r="A16" s="45" t="s">
        <v>24</v>
      </c>
      <c r="B16" s="46" t="s">
        <v>87</v>
      </c>
      <c r="C16" s="47">
        <v>191813</v>
      </c>
      <c r="D16" s="47">
        <f>195189+3613+2818+212+245000+340</f>
        <v>447172</v>
      </c>
      <c r="E16" s="22"/>
      <c r="F16" s="28" t="s">
        <v>25</v>
      </c>
      <c r="G16" s="17" t="s">
        <v>44</v>
      </c>
      <c r="H16" s="6">
        <v>191813</v>
      </c>
      <c r="I16" s="6">
        <f>195189+7059+1435+5208+340</f>
        <v>209231</v>
      </c>
      <c r="K16" s="1"/>
    </row>
    <row r="17" spans="1:11" ht="15.75" thickBot="1" x14ac:dyDescent="0.3">
      <c r="A17" s="48" t="s">
        <v>61</v>
      </c>
      <c r="B17" s="49" t="s">
        <v>43</v>
      </c>
      <c r="C17" s="50">
        <f>C16</f>
        <v>191813</v>
      </c>
      <c r="D17" s="50">
        <f>D16+D15</f>
        <v>536898</v>
      </c>
      <c r="E17" s="23"/>
      <c r="F17" s="10" t="s">
        <v>61</v>
      </c>
      <c r="G17" s="18" t="s">
        <v>45</v>
      </c>
      <c r="H17" s="11">
        <f>H16</f>
        <v>191813</v>
      </c>
      <c r="I17" s="11">
        <f>I16+I15</f>
        <v>454231</v>
      </c>
      <c r="J17" s="1"/>
      <c r="K17" s="1"/>
    </row>
    <row r="18" spans="1:11" ht="15.75" thickBot="1" x14ac:dyDescent="0.3">
      <c r="A18" s="54"/>
      <c r="B18" s="55"/>
      <c r="C18" s="56"/>
      <c r="D18" s="56"/>
      <c r="E18" s="24"/>
      <c r="F18" s="7"/>
      <c r="G18" s="19"/>
      <c r="H18" s="8"/>
      <c r="I18" s="8"/>
    </row>
    <row r="19" spans="1:11" ht="15.75" thickBot="1" x14ac:dyDescent="0.3">
      <c r="A19" s="48" t="s">
        <v>60</v>
      </c>
      <c r="B19" s="49" t="s">
        <v>33</v>
      </c>
      <c r="C19" s="50">
        <f>C14+C17</f>
        <v>809610</v>
      </c>
      <c r="D19" s="50">
        <f>D14+D17</f>
        <v>1168712</v>
      </c>
      <c r="E19" s="23"/>
      <c r="F19" s="10" t="s">
        <v>60</v>
      </c>
      <c r="G19" s="18" t="s">
        <v>34</v>
      </c>
      <c r="H19" s="11">
        <f>H14+H17</f>
        <v>809610</v>
      </c>
      <c r="I19" s="11">
        <f>I14+I17</f>
        <v>1104973</v>
      </c>
    </row>
    <row r="20" spans="1:11" x14ac:dyDescent="0.25">
      <c r="A20" s="39"/>
      <c r="B20" s="40"/>
      <c r="C20" s="41"/>
      <c r="D20" s="41"/>
      <c r="E20" s="20"/>
      <c r="F20" s="25"/>
      <c r="G20" s="26"/>
      <c r="H20" s="9"/>
      <c r="I20" s="9"/>
    </row>
    <row r="21" spans="1:11" x14ac:dyDescent="0.25">
      <c r="A21" s="42" t="s">
        <v>10</v>
      </c>
      <c r="B21" s="43" t="s">
        <v>69</v>
      </c>
      <c r="C21" s="44">
        <v>407000</v>
      </c>
      <c r="D21" s="44">
        <f>407000+95342</f>
        <v>502342</v>
      </c>
      <c r="E21" s="21"/>
      <c r="F21" s="27" t="s">
        <v>36</v>
      </c>
      <c r="G21" s="16" t="s">
        <v>37</v>
      </c>
      <c r="H21" s="3">
        <v>1289974</v>
      </c>
      <c r="I21" s="3">
        <f>1289974+4572+508+2644+2437+200+850+1905+5200+200</f>
        <v>1308490</v>
      </c>
    </row>
    <row r="22" spans="1:11" x14ac:dyDescent="0.25">
      <c r="A22" s="42" t="s">
        <v>26</v>
      </c>
      <c r="B22" s="43" t="s">
        <v>27</v>
      </c>
      <c r="C22" s="44">
        <v>77540</v>
      </c>
      <c r="D22" s="44">
        <v>77540</v>
      </c>
      <c r="E22" s="21"/>
      <c r="F22" s="27" t="s">
        <v>38</v>
      </c>
      <c r="G22" s="16" t="s">
        <v>39</v>
      </c>
      <c r="H22" s="3">
        <v>2566</v>
      </c>
      <c r="I22" s="3">
        <f>2566+5000+1500-994+31750+10261-508+92350+27356</f>
        <v>169281</v>
      </c>
      <c r="K22" s="1"/>
    </row>
    <row r="23" spans="1:11" ht="15.75" thickBot="1" x14ac:dyDescent="0.3">
      <c r="A23" s="42" t="s">
        <v>28</v>
      </c>
      <c r="B23" s="43" t="s">
        <v>29</v>
      </c>
      <c r="C23" s="44">
        <v>12000</v>
      </c>
      <c r="D23" s="44">
        <v>12000</v>
      </c>
      <c r="E23" s="22"/>
      <c r="F23" s="27" t="s">
        <v>40</v>
      </c>
      <c r="G23" s="2" t="s">
        <v>41</v>
      </c>
      <c r="H23" s="3">
        <v>4000</v>
      </c>
      <c r="I23" s="3">
        <f>4000+3850</f>
        <v>7850</v>
      </c>
    </row>
    <row r="24" spans="1:11" ht="15.75" thickBot="1" x14ac:dyDescent="0.3">
      <c r="A24" s="48" t="s">
        <v>59</v>
      </c>
      <c r="B24" s="49" t="s">
        <v>32</v>
      </c>
      <c r="C24" s="50">
        <f>SUM(C21:C23)</f>
        <v>496540</v>
      </c>
      <c r="D24" s="50">
        <f>SUM(D21:D23)</f>
        <v>591882</v>
      </c>
      <c r="E24" s="23"/>
      <c r="F24" s="10" t="s">
        <v>59</v>
      </c>
      <c r="G24" s="18" t="s">
        <v>35</v>
      </c>
      <c r="H24" s="11">
        <f>SUM(H21:H23)</f>
        <v>1296540</v>
      </c>
      <c r="I24" s="11">
        <f>SUM(I21:I23)</f>
        <v>1485621</v>
      </c>
    </row>
    <row r="25" spans="1:11" x14ac:dyDescent="0.25">
      <c r="A25" s="51" t="s">
        <v>24</v>
      </c>
      <c r="B25" s="52" t="s">
        <v>86</v>
      </c>
      <c r="C25" s="53">
        <v>0</v>
      </c>
      <c r="D25" s="53">
        <v>30000</v>
      </c>
      <c r="E25" s="20"/>
      <c r="F25" s="29"/>
      <c r="G25" s="15"/>
      <c r="H25" s="4"/>
      <c r="I25" s="4"/>
    </row>
    <row r="26" spans="1:11" ht="15.75" thickBot="1" x14ac:dyDescent="0.3">
      <c r="A26" s="45" t="s">
        <v>24</v>
      </c>
      <c r="B26" s="46" t="s">
        <v>71</v>
      </c>
      <c r="C26" s="47">
        <v>804205</v>
      </c>
      <c r="D26" s="47">
        <v>804205</v>
      </c>
      <c r="E26" s="22"/>
      <c r="F26" s="28" t="s">
        <v>25</v>
      </c>
      <c r="G26" s="17" t="s">
        <v>46</v>
      </c>
      <c r="H26" s="6">
        <v>4205</v>
      </c>
      <c r="I26" s="6">
        <v>4205</v>
      </c>
    </row>
    <row r="27" spans="1:11" ht="15.75" thickBot="1" x14ac:dyDescent="0.3">
      <c r="A27" s="48" t="s">
        <v>58</v>
      </c>
      <c r="B27" s="49" t="s">
        <v>48</v>
      </c>
      <c r="C27" s="50">
        <f>C26</f>
        <v>804205</v>
      </c>
      <c r="D27" s="50">
        <f>D26+D25</f>
        <v>834205</v>
      </c>
      <c r="E27" s="23"/>
      <c r="F27" s="10" t="s">
        <v>58</v>
      </c>
      <c r="G27" s="18" t="s">
        <v>47</v>
      </c>
      <c r="H27" s="11">
        <f>H26</f>
        <v>4205</v>
      </c>
      <c r="I27" s="11">
        <f>I26</f>
        <v>4205</v>
      </c>
    </row>
    <row r="28" spans="1:11" x14ac:dyDescent="0.25">
      <c r="A28" s="51"/>
      <c r="B28" s="52" t="s">
        <v>49</v>
      </c>
      <c r="C28" s="53">
        <v>0</v>
      </c>
      <c r="D28" s="53">
        <v>0</v>
      </c>
      <c r="E28" s="20"/>
      <c r="F28" s="29"/>
      <c r="G28" s="15"/>
      <c r="H28" s="4"/>
      <c r="I28" s="4"/>
    </row>
    <row r="29" spans="1:11" ht="15.75" thickBot="1" x14ac:dyDescent="0.3">
      <c r="A29" s="54"/>
      <c r="B29" s="55"/>
      <c r="C29" s="56"/>
      <c r="D29" s="56"/>
      <c r="E29" s="24"/>
      <c r="F29" s="30"/>
      <c r="G29" s="19"/>
      <c r="H29" s="8"/>
      <c r="I29" s="8"/>
    </row>
    <row r="30" spans="1:11" ht="15.75" thickBot="1" x14ac:dyDescent="0.3">
      <c r="A30" s="48" t="s">
        <v>57</v>
      </c>
      <c r="B30" s="49" t="s">
        <v>50</v>
      </c>
      <c r="C30" s="50">
        <f>C24+C27</f>
        <v>1300745</v>
      </c>
      <c r="D30" s="50">
        <f>D24+D27</f>
        <v>1426087</v>
      </c>
      <c r="E30" s="23"/>
      <c r="F30" s="10" t="s">
        <v>57</v>
      </c>
      <c r="G30" s="18" t="s">
        <v>51</v>
      </c>
      <c r="H30" s="11">
        <f>H24+H27</f>
        <v>1300745</v>
      </c>
      <c r="I30" s="11">
        <f>I24+I27</f>
        <v>1489826</v>
      </c>
    </row>
    <row r="31" spans="1:11" ht="15.75" thickBot="1" x14ac:dyDescent="0.3">
      <c r="A31" s="48" t="s">
        <v>56</v>
      </c>
      <c r="B31" s="49" t="s">
        <v>52</v>
      </c>
      <c r="C31" s="50">
        <f>C14+C24</f>
        <v>1114337</v>
      </c>
      <c r="D31" s="50">
        <f>D14+D24</f>
        <v>1223696</v>
      </c>
      <c r="E31" s="23"/>
      <c r="F31" s="10" t="s">
        <v>56</v>
      </c>
      <c r="G31" s="18" t="s">
        <v>64</v>
      </c>
      <c r="H31" s="11">
        <f>H14+H24</f>
        <v>1914337</v>
      </c>
      <c r="I31" s="11">
        <f>I14+I24</f>
        <v>2136363</v>
      </c>
    </row>
    <row r="32" spans="1:11" ht="15.75" thickBot="1" x14ac:dyDescent="0.3">
      <c r="A32" s="48" t="s">
        <v>55</v>
      </c>
      <c r="B32" s="49" t="s">
        <v>53</v>
      </c>
      <c r="C32" s="50">
        <f>C17+C27</f>
        <v>996018</v>
      </c>
      <c r="D32" s="50">
        <f>D17+D27</f>
        <v>1371103</v>
      </c>
      <c r="E32" s="23"/>
      <c r="F32" s="10" t="s">
        <v>55</v>
      </c>
      <c r="G32" s="18" t="s">
        <v>65</v>
      </c>
      <c r="H32" s="11">
        <f>H17+H27</f>
        <v>196018</v>
      </c>
      <c r="I32" s="11">
        <f>I17+I27</f>
        <v>458436</v>
      </c>
    </row>
    <row r="33" spans="1:9" ht="15.75" thickBot="1" x14ac:dyDescent="0.3">
      <c r="A33" s="48" t="s">
        <v>54</v>
      </c>
      <c r="B33" s="49" t="s">
        <v>63</v>
      </c>
      <c r="C33" s="50">
        <f>C19+C30</f>
        <v>2110355</v>
      </c>
      <c r="D33" s="50">
        <f>D19+D30</f>
        <v>2594799</v>
      </c>
      <c r="E33" s="23"/>
      <c r="F33" s="10" t="s">
        <v>54</v>
      </c>
      <c r="G33" s="18" t="s">
        <v>66</v>
      </c>
      <c r="H33" s="11">
        <f>H19+H30</f>
        <v>2110355</v>
      </c>
      <c r="I33" s="11">
        <f>I19+I30</f>
        <v>2594799</v>
      </c>
    </row>
    <row r="34" spans="1:9" x14ac:dyDescent="0.25">
      <c r="A34" s="57" t="s">
        <v>83</v>
      </c>
    </row>
    <row r="36" spans="1:9" x14ac:dyDescent="0.25">
      <c r="G36" s="1"/>
    </row>
  </sheetData>
  <mergeCells count="3">
    <mergeCell ref="A2:I2"/>
    <mergeCell ref="A4:D4"/>
    <mergeCell ref="F4:I4"/>
  </mergeCells>
  <phoneticPr fontId="5" type="noConversion"/>
  <pageMargins left="0.70866141732283472" right="0.70866141732283472" top="0.74803149606299213" bottom="0.74803149606299213" header="0.31496062992125984" footer="0.31496062992125984"/>
  <pageSetup paperSize="8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topLeftCell="L1" zoomScaleNormal="100" workbookViewId="0">
      <selection activeCell="A2" sqref="A2:Y2"/>
    </sheetView>
  </sheetViews>
  <sheetFormatPr defaultRowHeight="15" x14ac:dyDescent="0.25"/>
  <cols>
    <col min="1" max="1" width="9.7109375" style="34" customWidth="1"/>
    <col min="2" max="2" width="42.5703125" style="34" customWidth="1"/>
    <col min="3" max="3" width="15.5703125" style="35" customWidth="1"/>
    <col min="4" max="4" width="14.7109375" style="35" customWidth="1"/>
    <col min="5" max="6" width="17" style="35" customWidth="1"/>
    <col min="7" max="7" width="13.7109375" style="35" customWidth="1"/>
    <col min="8" max="8" width="15.5703125" style="35" customWidth="1"/>
    <col min="9" max="9" width="14.85546875" style="35" customWidth="1"/>
    <col min="10" max="11" width="17" style="35" customWidth="1"/>
    <col min="12" max="12" width="12.7109375" style="35" customWidth="1"/>
    <col min="13" max="13" width="2.7109375" style="1" customWidth="1"/>
    <col min="14" max="14" width="9.85546875" style="1" customWidth="1"/>
    <col min="15" max="15" width="42" customWidth="1"/>
    <col min="16" max="16" width="15.28515625" style="35" customWidth="1"/>
    <col min="17" max="17" width="14.5703125" style="35" customWidth="1"/>
    <col min="18" max="19" width="17" style="35" customWidth="1"/>
    <col min="20" max="20" width="12" style="1" customWidth="1"/>
    <col min="21" max="21" width="15.42578125" style="35" customWidth="1"/>
    <col min="22" max="22" width="14.5703125" style="35" customWidth="1"/>
    <col min="23" max="24" width="17" style="35" customWidth="1"/>
    <col min="25" max="25" width="12.7109375" style="1" customWidth="1"/>
  </cols>
  <sheetData>
    <row r="1" spans="1:25" x14ac:dyDescent="0.25">
      <c r="T1" s="12"/>
      <c r="Y1" s="12" t="s">
        <v>88</v>
      </c>
    </row>
    <row r="2" spans="1:25" ht="18.75" x14ac:dyDescent="0.3">
      <c r="A2" s="71" t="s">
        <v>72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25" ht="15.75" thickBot="1" x14ac:dyDescent="0.3">
      <c r="T3" s="13"/>
      <c r="Y3" s="13" t="s">
        <v>67</v>
      </c>
    </row>
    <row r="4" spans="1:25" ht="15.75" thickBot="1" x14ac:dyDescent="0.3">
      <c r="A4" s="72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8"/>
      <c r="M4" s="32"/>
      <c r="N4" s="74" t="s">
        <v>4</v>
      </c>
      <c r="O4" s="75"/>
      <c r="P4" s="75"/>
      <c r="Q4" s="75"/>
      <c r="R4" s="75"/>
      <c r="S4" s="75"/>
      <c r="T4" s="75"/>
      <c r="U4" s="75"/>
      <c r="V4" s="75"/>
      <c r="W4" s="75"/>
      <c r="X4" s="75"/>
      <c r="Y4" s="76"/>
    </row>
    <row r="5" spans="1:25" ht="15.75" thickBot="1" x14ac:dyDescent="0.3">
      <c r="A5" s="81" t="s">
        <v>3</v>
      </c>
      <c r="B5" s="79" t="s">
        <v>0</v>
      </c>
      <c r="C5" s="77" t="s">
        <v>76</v>
      </c>
      <c r="D5" s="73"/>
      <c r="E5" s="73"/>
      <c r="F5" s="73"/>
      <c r="G5" s="78"/>
      <c r="H5" s="77" t="s">
        <v>81</v>
      </c>
      <c r="I5" s="73"/>
      <c r="J5" s="73"/>
      <c r="K5" s="73"/>
      <c r="L5" s="78"/>
      <c r="M5" s="32"/>
      <c r="N5" s="85" t="s">
        <v>3</v>
      </c>
      <c r="O5" s="83" t="s">
        <v>0</v>
      </c>
      <c r="P5" s="77" t="s">
        <v>76</v>
      </c>
      <c r="Q5" s="73"/>
      <c r="R5" s="73"/>
      <c r="S5" s="73"/>
      <c r="T5" s="78"/>
      <c r="U5" s="77" t="s">
        <v>81</v>
      </c>
      <c r="V5" s="73"/>
      <c r="W5" s="73"/>
      <c r="X5" s="73"/>
      <c r="Y5" s="78"/>
    </row>
    <row r="6" spans="1:25" ht="15.75" thickBot="1" x14ac:dyDescent="0.3">
      <c r="A6" s="82"/>
      <c r="B6" s="80"/>
      <c r="C6" s="58" t="s">
        <v>73</v>
      </c>
      <c r="D6" s="58" t="s">
        <v>78</v>
      </c>
      <c r="E6" s="58" t="s">
        <v>74</v>
      </c>
      <c r="F6" s="58" t="s">
        <v>75</v>
      </c>
      <c r="G6" s="38" t="s">
        <v>77</v>
      </c>
      <c r="H6" s="58" t="s">
        <v>73</v>
      </c>
      <c r="I6" s="58" t="s">
        <v>78</v>
      </c>
      <c r="J6" s="58" t="s">
        <v>74</v>
      </c>
      <c r="K6" s="58" t="s">
        <v>75</v>
      </c>
      <c r="L6" s="38" t="s">
        <v>77</v>
      </c>
      <c r="M6" s="31"/>
      <c r="N6" s="86"/>
      <c r="O6" s="84"/>
      <c r="P6" s="58" t="s">
        <v>73</v>
      </c>
      <c r="Q6" s="58" t="s">
        <v>78</v>
      </c>
      <c r="R6" s="58" t="s">
        <v>74</v>
      </c>
      <c r="S6" s="58" t="s">
        <v>75</v>
      </c>
      <c r="T6" s="38" t="s">
        <v>77</v>
      </c>
      <c r="U6" s="58" t="s">
        <v>73</v>
      </c>
      <c r="V6" s="58" t="s">
        <v>78</v>
      </c>
      <c r="W6" s="58" t="s">
        <v>74</v>
      </c>
      <c r="X6" s="58" t="s">
        <v>75</v>
      </c>
      <c r="Y6" s="38" t="s">
        <v>77</v>
      </c>
    </row>
    <row r="7" spans="1:25" x14ac:dyDescent="0.25">
      <c r="A7" s="39" t="s">
        <v>5</v>
      </c>
      <c r="B7" s="40" t="s">
        <v>70</v>
      </c>
      <c r="C7" s="59">
        <f>214118+124</f>
        <v>214242</v>
      </c>
      <c r="D7" s="59">
        <v>0</v>
      </c>
      <c r="E7" s="59">
        <v>0</v>
      </c>
      <c r="F7" s="59">
        <v>0</v>
      </c>
      <c r="G7" s="41">
        <f>SUM(C7:F7)</f>
        <v>214242</v>
      </c>
      <c r="H7" s="59">
        <f>214118+124+693+1996+6723+340</f>
        <v>223994</v>
      </c>
      <c r="I7" s="59">
        <v>0</v>
      </c>
      <c r="J7" s="59">
        <v>0</v>
      </c>
      <c r="K7" s="59">
        <v>300</v>
      </c>
      <c r="L7" s="41">
        <f>SUM(H7:K7)</f>
        <v>224294</v>
      </c>
      <c r="M7" s="20"/>
      <c r="N7" s="25" t="s">
        <v>11</v>
      </c>
      <c r="O7" s="26" t="s">
        <v>15</v>
      </c>
      <c r="P7" s="59">
        <v>44073</v>
      </c>
      <c r="Q7" s="59">
        <v>50375</v>
      </c>
      <c r="R7" s="59">
        <v>73585</v>
      </c>
      <c r="S7" s="59">
        <v>7958</v>
      </c>
      <c r="T7" s="9">
        <f>SUM(P7:S7)</f>
        <v>175991</v>
      </c>
      <c r="U7" s="59">
        <f>44073+89+3210</f>
        <v>47372</v>
      </c>
      <c r="V7" s="59">
        <f>50375+169-503+503+447+1785</f>
        <v>52776</v>
      </c>
      <c r="W7" s="59">
        <f>73585+87-400+1313+655+2310</f>
        <v>77550</v>
      </c>
      <c r="X7" s="59">
        <f>7958+235+66+52+1694</f>
        <v>10005</v>
      </c>
      <c r="Y7" s="9">
        <f>SUM(U7:X7)</f>
        <v>187703</v>
      </c>
    </row>
    <row r="8" spans="1:25" x14ac:dyDescent="0.25">
      <c r="A8" s="42" t="s">
        <v>6</v>
      </c>
      <c r="B8" s="43" t="s">
        <v>7</v>
      </c>
      <c r="C8" s="60">
        <v>331399</v>
      </c>
      <c r="D8" s="60">
        <v>0</v>
      </c>
      <c r="E8" s="60">
        <v>0</v>
      </c>
      <c r="F8" s="60">
        <v>0</v>
      </c>
      <c r="G8" s="44">
        <f>SUM(C8:F8)</f>
        <v>331399</v>
      </c>
      <c r="H8" s="60">
        <v>331399</v>
      </c>
      <c r="I8" s="60">
        <v>0</v>
      </c>
      <c r="J8" s="60">
        <v>0</v>
      </c>
      <c r="K8" s="60">
        <v>0</v>
      </c>
      <c r="L8" s="44">
        <f>SUM(H8:K8)</f>
        <v>331399</v>
      </c>
      <c r="M8" s="21"/>
      <c r="N8" s="27" t="s">
        <v>12</v>
      </c>
      <c r="O8" s="16" t="s">
        <v>68</v>
      </c>
      <c r="P8" s="60">
        <v>9373</v>
      </c>
      <c r="Q8" s="60">
        <v>11423</v>
      </c>
      <c r="R8" s="60">
        <v>16631</v>
      </c>
      <c r="S8" s="60">
        <v>1792</v>
      </c>
      <c r="T8" s="3">
        <f>SUM(P8:S8)</f>
        <v>39219</v>
      </c>
      <c r="U8" s="60">
        <f>9373+13+380</f>
        <v>9766</v>
      </c>
      <c r="V8" s="60">
        <f>11423+32+393</f>
        <v>11848</v>
      </c>
      <c r="W8" s="60">
        <f>16631+16+289+145+508</f>
        <v>17589</v>
      </c>
      <c r="X8" s="60">
        <f>1792+52+14+12+292</f>
        <v>2162</v>
      </c>
      <c r="Y8" s="3">
        <f>SUM(U8:X8)</f>
        <v>41365</v>
      </c>
    </row>
    <row r="9" spans="1:25" x14ac:dyDescent="0.25">
      <c r="A9" s="42" t="s">
        <v>8</v>
      </c>
      <c r="B9" s="43" t="s">
        <v>9</v>
      </c>
      <c r="C9" s="60">
        <v>48227</v>
      </c>
      <c r="D9" s="60">
        <v>3500</v>
      </c>
      <c r="E9" s="60">
        <v>18429</v>
      </c>
      <c r="F9" s="60">
        <v>2000</v>
      </c>
      <c r="G9" s="44">
        <f t="shared" ref="G9:G10" si="0">SUM(C9:F9)</f>
        <v>72156</v>
      </c>
      <c r="H9" s="60">
        <f>48227+3465</f>
        <v>51692</v>
      </c>
      <c r="I9" s="60">
        <f>3500+500</f>
        <v>4000</v>
      </c>
      <c r="J9" s="60">
        <v>18429</v>
      </c>
      <c r="K9" s="60">
        <v>2000</v>
      </c>
      <c r="L9" s="44">
        <f t="shared" ref="L9:L10" si="1">SUM(H9:K9)</f>
        <v>76121</v>
      </c>
      <c r="M9" s="21"/>
      <c r="N9" s="27" t="s">
        <v>13</v>
      </c>
      <c r="O9" s="16" t="s">
        <v>16</v>
      </c>
      <c r="P9" s="60">
        <v>105072</v>
      </c>
      <c r="Q9" s="60">
        <v>12464</v>
      </c>
      <c r="R9" s="60">
        <v>25303</v>
      </c>
      <c r="S9" s="60">
        <v>8061</v>
      </c>
      <c r="T9" s="3">
        <f t="shared" ref="T9:T13" si="2">SUM(P9:S9)</f>
        <v>150900</v>
      </c>
      <c r="U9" s="60">
        <f>105072+8203+3121-5200-200+2992+624+1599</f>
        <v>116211</v>
      </c>
      <c r="V9" s="60">
        <f>12464-447+1935</f>
        <v>13952</v>
      </c>
      <c r="W9" s="60">
        <f>25303+240+400</f>
        <v>25943</v>
      </c>
      <c r="X9" s="60">
        <f>8061+111-1474+340</f>
        <v>7038</v>
      </c>
      <c r="Y9" s="3">
        <f t="shared" ref="Y9:Y14" si="3">SUM(U9:X9)</f>
        <v>163144</v>
      </c>
    </row>
    <row r="10" spans="1:25" x14ac:dyDescent="0.25">
      <c r="A10" s="42" t="s">
        <v>30</v>
      </c>
      <c r="B10" s="43" t="s">
        <v>31</v>
      </c>
      <c r="C10" s="60">
        <v>0</v>
      </c>
      <c r="D10" s="60">
        <v>0</v>
      </c>
      <c r="E10" s="60">
        <v>0</v>
      </c>
      <c r="F10" s="60">
        <v>0</v>
      </c>
      <c r="G10" s="44">
        <f t="shared" si="0"/>
        <v>0</v>
      </c>
      <c r="H10" s="60">
        <v>0</v>
      </c>
      <c r="I10" s="60">
        <v>0</v>
      </c>
      <c r="J10" s="60">
        <v>0</v>
      </c>
      <c r="K10" s="60">
        <v>0</v>
      </c>
      <c r="L10" s="44">
        <f t="shared" si="1"/>
        <v>0</v>
      </c>
      <c r="M10" s="21"/>
      <c r="N10" s="27" t="s">
        <v>14</v>
      </c>
      <c r="O10" s="16" t="s">
        <v>17</v>
      </c>
      <c r="P10" s="60">
        <v>13185</v>
      </c>
      <c r="Q10" s="60">
        <v>0</v>
      </c>
      <c r="R10" s="60">
        <v>8150</v>
      </c>
      <c r="S10" s="60">
        <v>0</v>
      </c>
      <c r="T10" s="3">
        <f t="shared" si="2"/>
        <v>21335</v>
      </c>
      <c r="U10" s="60">
        <f>13185+640</f>
        <v>13825</v>
      </c>
      <c r="V10" s="60">
        <v>0</v>
      </c>
      <c r="W10" s="60">
        <v>8150</v>
      </c>
      <c r="X10" s="60">
        <v>0</v>
      </c>
      <c r="Y10" s="3">
        <f t="shared" si="3"/>
        <v>21975</v>
      </c>
    </row>
    <row r="11" spans="1:25" x14ac:dyDescent="0.25">
      <c r="A11" s="42"/>
      <c r="B11" s="43"/>
      <c r="C11" s="60"/>
      <c r="D11" s="60"/>
      <c r="E11" s="60"/>
      <c r="F11" s="60"/>
      <c r="G11" s="44"/>
      <c r="H11" s="60"/>
      <c r="I11" s="60"/>
      <c r="J11" s="60"/>
      <c r="K11" s="60"/>
      <c r="L11" s="44"/>
      <c r="M11" s="21"/>
      <c r="N11" s="27" t="s">
        <v>18</v>
      </c>
      <c r="O11" s="16" t="s">
        <v>19</v>
      </c>
      <c r="P11" s="65">
        <v>230352</v>
      </c>
      <c r="Q11" s="64">
        <v>0</v>
      </c>
      <c r="R11" s="60">
        <v>0</v>
      </c>
      <c r="S11" s="60">
        <v>0</v>
      </c>
      <c r="T11" s="3">
        <f t="shared" si="2"/>
        <v>230352</v>
      </c>
      <c r="U11" s="65">
        <f>166149-250+78645+850-9839+1000</f>
        <v>236555</v>
      </c>
      <c r="V11" s="64">
        <v>0</v>
      </c>
      <c r="W11" s="60">
        <v>0</v>
      </c>
      <c r="X11" s="60">
        <v>0</v>
      </c>
      <c r="Y11" s="3">
        <f t="shared" si="3"/>
        <v>236555</v>
      </c>
    </row>
    <row r="12" spans="1:25" x14ac:dyDescent="0.25">
      <c r="A12" s="42"/>
      <c r="B12" s="43"/>
      <c r="C12" s="60"/>
      <c r="D12" s="60"/>
      <c r="E12" s="60"/>
      <c r="F12" s="60"/>
      <c r="G12" s="44"/>
      <c r="H12" s="60"/>
      <c r="I12" s="60"/>
      <c r="J12" s="60"/>
      <c r="K12" s="60"/>
      <c r="L12" s="44"/>
      <c r="M12" s="21"/>
      <c r="N12" s="27"/>
      <c r="O12" s="16" t="s">
        <v>20</v>
      </c>
      <c r="P12" s="65">
        <f>P11-P13-23906</f>
        <v>103617</v>
      </c>
      <c r="Q12" s="64">
        <v>0</v>
      </c>
      <c r="R12" s="60">
        <v>0</v>
      </c>
      <c r="S12" s="60">
        <v>0</v>
      </c>
      <c r="T12" s="3">
        <f t="shared" si="2"/>
        <v>103617</v>
      </c>
      <c r="U12" s="65">
        <f>37914-250+78645-9839+1000</f>
        <v>107470</v>
      </c>
      <c r="V12" s="64">
        <v>0</v>
      </c>
      <c r="W12" s="60">
        <v>0</v>
      </c>
      <c r="X12" s="60">
        <v>0</v>
      </c>
      <c r="Y12" s="3">
        <f t="shared" si="3"/>
        <v>107470</v>
      </c>
    </row>
    <row r="13" spans="1:25" x14ac:dyDescent="0.25">
      <c r="A13" s="42"/>
      <c r="B13" s="43"/>
      <c r="C13" s="60"/>
      <c r="D13" s="60"/>
      <c r="E13" s="60"/>
      <c r="F13" s="60"/>
      <c r="G13" s="44"/>
      <c r="H13" s="60"/>
      <c r="I13" s="60"/>
      <c r="J13" s="60"/>
      <c r="K13" s="60"/>
      <c r="L13" s="44"/>
      <c r="M13" s="21"/>
      <c r="N13" s="27"/>
      <c r="O13" s="16" t="s">
        <v>21</v>
      </c>
      <c r="P13" s="65">
        <v>102829</v>
      </c>
      <c r="Q13" s="64">
        <v>0</v>
      </c>
      <c r="R13" s="60">
        <v>0</v>
      </c>
      <c r="S13" s="60">
        <v>0</v>
      </c>
      <c r="T13" s="3">
        <f t="shared" si="2"/>
        <v>102829</v>
      </c>
      <c r="U13" s="27">
        <v>102829</v>
      </c>
      <c r="V13" s="64">
        <v>0</v>
      </c>
      <c r="W13" s="60">
        <v>0</v>
      </c>
      <c r="X13" s="60">
        <v>0</v>
      </c>
      <c r="Y13" s="3">
        <f t="shared" si="3"/>
        <v>102829</v>
      </c>
    </row>
    <row r="14" spans="1:25" ht="15.75" thickBot="1" x14ac:dyDescent="0.3">
      <c r="A14" s="54"/>
      <c r="B14" s="55"/>
      <c r="C14" s="63"/>
      <c r="D14" s="63"/>
      <c r="E14" s="63"/>
      <c r="F14" s="63"/>
      <c r="G14" s="56"/>
      <c r="H14" s="63"/>
      <c r="I14" s="63"/>
      <c r="J14" s="63"/>
      <c r="K14" s="63"/>
      <c r="L14" s="56"/>
      <c r="M14" s="24"/>
      <c r="N14" s="30"/>
      <c r="O14" s="19" t="s">
        <v>82</v>
      </c>
      <c r="P14" s="68">
        <v>0</v>
      </c>
      <c r="Q14" s="69">
        <v>0</v>
      </c>
      <c r="R14" s="63">
        <v>0</v>
      </c>
      <c r="S14" s="63">
        <v>0</v>
      </c>
      <c r="T14" s="8">
        <v>0</v>
      </c>
      <c r="U14" s="70">
        <v>500</v>
      </c>
      <c r="V14" s="69">
        <v>0</v>
      </c>
      <c r="W14" s="63">
        <v>0</v>
      </c>
      <c r="X14" s="63">
        <v>0</v>
      </c>
      <c r="Y14" s="8">
        <f t="shared" si="3"/>
        <v>500</v>
      </c>
    </row>
    <row r="15" spans="1:25" ht="15.75" thickBot="1" x14ac:dyDescent="0.3">
      <c r="A15" s="48" t="s">
        <v>62</v>
      </c>
      <c r="B15" s="49" t="s">
        <v>22</v>
      </c>
      <c r="C15" s="50">
        <f t="shared" ref="C15:L15" si="4">C7+C8+C9+C10</f>
        <v>593868</v>
      </c>
      <c r="D15" s="50">
        <f t="shared" si="4"/>
        <v>3500</v>
      </c>
      <c r="E15" s="50">
        <f t="shared" si="4"/>
        <v>18429</v>
      </c>
      <c r="F15" s="50">
        <f t="shared" si="4"/>
        <v>2000</v>
      </c>
      <c r="G15" s="50">
        <f t="shared" si="4"/>
        <v>617797</v>
      </c>
      <c r="H15" s="50">
        <f t="shared" si="4"/>
        <v>607085</v>
      </c>
      <c r="I15" s="50">
        <f t="shared" si="4"/>
        <v>4000</v>
      </c>
      <c r="J15" s="50">
        <f t="shared" si="4"/>
        <v>18429</v>
      </c>
      <c r="K15" s="50">
        <f t="shared" si="4"/>
        <v>2300</v>
      </c>
      <c r="L15" s="50">
        <f t="shared" si="4"/>
        <v>631814</v>
      </c>
      <c r="M15" s="23"/>
      <c r="N15" s="10" t="s">
        <v>62</v>
      </c>
      <c r="O15" s="18" t="s">
        <v>23</v>
      </c>
      <c r="P15" s="11">
        <f t="shared" ref="P15:Y15" si="5">SUM(P7:P11)</f>
        <v>402055</v>
      </c>
      <c r="Q15" s="11">
        <f t="shared" si="5"/>
        <v>74262</v>
      </c>
      <c r="R15" s="11">
        <f t="shared" si="5"/>
        <v>123669</v>
      </c>
      <c r="S15" s="11">
        <f t="shared" si="5"/>
        <v>17811</v>
      </c>
      <c r="T15" s="11">
        <f t="shared" si="5"/>
        <v>617797</v>
      </c>
      <c r="U15" s="11">
        <f t="shared" si="5"/>
        <v>423729</v>
      </c>
      <c r="V15" s="11">
        <f t="shared" si="5"/>
        <v>78576</v>
      </c>
      <c r="W15" s="11">
        <f t="shared" si="5"/>
        <v>129232</v>
      </c>
      <c r="X15" s="11">
        <f t="shared" si="5"/>
        <v>19205</v>
      </c>
      <c r="Y15" s="11">
        <f t="shared" si="5"/>
        <v>650742</v>
      </c>
    </row>
    <row r="16" spans="1:25" x14ac:dyDescent="0.25">
      <c r="A16" s="51" t="s">
        <v>24</v>
      </c>
      <c r="B16" s="52" t="s">
        <v>84</v>
      </c>
      <c r="C16" s="62"/>
      <c r="D16" s="62"/>
      <c r="E16" s="62"/>
      <c r="F16" s="62"/>
      <c r="G16" s="53"/>
      <c r="H16" s="62">
        <v>89615</v>
      </c>
      <c r="I16" s="62"/>
      <c r="J16" s="62"/>
      <c r="K16" s="62">
        <v>111</v>
      </c>
      <c r="L16" s="44">
        <f>SUM(H16:K16)</f>
        <v>89726</v>
      </c>
      <c r="M16" s="20"/>
      <c r="N16" s="29" t="s">
        <v>25</v>
      </c>
      <c r="O16" s="15" t="s">
        <v>85</v>
      </c>
      <c r="P16" s="62"/>
      <c r="Q16" s="62"/>
      <c r="R16" s="62"/>
      <c r="S16" s="62"/>
      <c r="T16" s="4"/>
      <c r="U16" s="62">
        <v>245000</v>
      </c>
      <c r="V16" s="62"/>
      <c r="W16" s="62"/>
      <c r="X16" s="62"/>
      <c r="Y16" s="3">
        <f>SUM(U16:X16)</f>
        <v>245000</v>
      </c>
    </row>
    <row r="17" spans="1:25" ht="15.75" thickBot="1" x14ac:dyDescent="0.3">
      <c r="A17" s="45" t="s">
        <v>24</v>
      </c>
      <c r="B17" s="46" t="s">
        <v>42</v>
      </c>
      <c r="C17" s="61">
        <v>0</v>
      </c>
      <c r="D17" s="61">
        <v>70762</v>
      </c>
      <c r="E17" s="61">
        <v>105240</v>
      </c>
      <c r="F17" s="61">
        <v>15811</v>
      </c>
      <c r="G17" s="44">
        <f>SUM(C17:F17)</f>
        <v>191813</v>
      </c>
      <c r="H17" s="61">
        <v>245000</v>
      </c>
      <c r="I17" s="61">
        <f>70762+201+3613</f>
        <v>74576</v>
      </c>
      <c r="J17" s="61">
        <f>105240+103+2641+2818</f>
        <v>110802</v>
      </c>
      <c r="K17" s="61">
        <f>15811+287+144+212+340</f>
        <v>16794</v>
      </c>
      <c r="L17" s="44">
        <f>SUM(H17:K17)</f>
        <v>447172</v>
      </c>
      <c r="M17" s="22"/>
      <c r="N17" s="28" t="s">
        <v>25</v>
      </c>
      <c r="O17" s="17" t="s">
        <v>44</v>
      </c>
      <c r="P17" s="61">
        <v>191813</v>
      </c>
      <c r="Q17" s="61">
        <v>0</v>
      </c>
      <c r="R17" s="61">
        <v>0</v>
      </c>
      <c r="S17" s="61">
        <v>0</v>
      </c>
      <c r="T17" s="3">
        <f>SUM(P17:S17)</f>
        <v>191813</v>
      </c>
      <c r="U17" s="61">
        <f>195189+5208+7059+1435+340</f>
        <v>209231</v>
      </c>
      <c r="V17" s="61">
        <v>0</v>
      </c>
      <c r="W17" s="61">
        <v>0</v>
      </c>
      <c r="X17" s="61">
        <v>0</v>
      </c>
      <c r="Y17" s="3">
        <f>SUM(U17:X17)</f>
        <v>209231</v>
      </c>
    </row>
    <row r="18" spans="1:25" ht="15.75" thickBot="1" x14ac:dyDescent="0.3">
      <c r="A18" s="48" t="s">
        <v>61</v>
      </c>
      <c r="B18" s="49" t="s">
        <v>43</v>
      </c>
      <c r="C18" s="50">
        <f t="shared" ref="C18:F18" si="6">C17</f>
        <v>0</v>
      </c>
      <c r="D18" s="50">
        <f t="shared" si="6"/>
        <v>70762</v>
      </c>
      <c r="E18" s="50">
        <f t="shared" si="6"/>
        <v>105240</v>
      </c>
      <c r="F18" s="50">
        <f t="shared" si="6"/>
        <v>15811</v>
      </c>
      <c r="G18" s="50">
        <f>G17</f>
        <v>191813</v>
      </c>
      <c r="H18" s="50">
        <f>H16+H17</f>
        <v>334615</v>
      </c>
      <c r="I18" s="50">
        <f t="shared" ref="I18:K18" si="7">I16+I17</f>
        <v>74576</v>
      </c>
      <c r="J18" s="50">
        <f t="shared" si="7"/>
        <v>110802</v>
      </c>
      <c r="K18" s="50">
        <f t="shared" si="7"/>
        <v>16905</v>
      </c>
      <c r="L18" s="50">
        <f>L16+L17</f>
        <v>536898</v>
      </c>
      <c r="M18" s="23"/>
      <c r="N18" s="10" t="s">
        <v>61</v>
      </c>
      <c r="O18" s="18" t="s">
        <v>45</v>
      </c>
      <c r="P18" s="11">
        <f t="shared" ref="P18:S18" si="8">P17</f>
        <v>191813</v>
      </c>
      <c r="Q18" s="11">
        <f t="shared" si="8"/>
        <v>0</v>
      </c>
      <c r="R18" s="11">
        <f t="shared" si="8"/>
        <v>0</v>
      </c>
      <c r="S18" s="11">
        <f t="shared" si="8"/>
        <v>0</v>
      </c>
      <c r="T18" s="11">
        <f>T17</f>
        <v>191813</v>
      </c>
      <c r="U18" s="11">
        <f>U17+U16</f>
        <v>454231</v>
      </c>
      <c r="V18" s="11">
        <f t="shared" ref="V18:X18" si="9">V17</f>
        <v>0</v>
      </c>
      <c r="W18" s="11">
        <f t="shared" si="9"/>
        <v>0</v>
      </c>
      <c r="X18" s="11">
        <f t="shared" si="9"/>
        <v>0</v>
      </c>
      <c r="Y18" s="11">
        <f>Y17+Y16</f>
        <v>454231</v>
      </c>
    </row>
    <row r="19" spans="1:25" ht="15.75" thickBot="1" x14ac:dyDescent="0.3">
      <c r="A19" s="54"/>
      <c r="B19" s="55"/>
      <c r="C19" s="63"/>
      <c r="D19" s="63"/>
      <c r="E19" s="63"/>
      <c r="F19" s="63"/>
      <c r="G19" s="56"/>
      <c r="H19" s="63"/>
      <c r="I19" s="63"/>
      <c r="J19" s="63"/>
      <c r="K19" s="63"/>
      <c r="L19" s="56"/>
      <c r="M19" s="24"/>
      <c r="N19" s="7"/>
      <c r="O19" s="19"/>
      <c r="P19" s="63"/>
      <c r="Q19" s="63"/>
      <c r="R19" s="63"/>
      <c r="S19" s="63"/>
      <c r="T19" s="8"/>
      <c r="U19" s="63"/>
      <c r="V19" s="63"/>
      <c r="W19" s="63"/>
      <c r="X19" s="63"/>
      <c r="Y19" s="8"/>
    </row>
    <row r="20" spans="1:25" ht="15.75" thickBot="1" x14ac:dyDescent="0.3">
      <c r="A20" s="48" t="s">
        <v>60</v>
      </c>
      <c r="B20" s="49" t="s">
        <v>33</v>
      </c>
      <c r="C20" s="50">
        <f t="shared" ref="C20:F20" si="10">C15+C18</f>
        <v>593868</v>
      </c>
      <c r="D20" s="50">
        <f t="shared" si="10"/>
        <v>74262</v>
      </c>
      <c r="E20" s="50">
        <f t="shared" si="10"/>
        <v>123669</v>
      </c>
      <c r="F20" s="50">
        <f t="shared" si="10"/>
        <v>17811</v>
      </c>
      <c r="G20" s="50">
        <f>G15+G18</f>
        <v>809610</v>
      </c>
      <c r="H20" s="50">
        <f t="shared" ref="H20:K20" si="11">H15+H18</f>
        <v>941700</v>
      </c>
      <c r="I20" s="50">
        <f t="shared" si="11"/>
        <v>78576</v>
      </c>
      <c r="J20" s="50">
        <f t="shared" si="11"/>
        <v>129231</v>
      </c>
      <c r="K20" s="50">
        <f t="shared" si="11"/>
        <v>19205</v>
      </c>
      <c r="L20" s="50">
        <f>L15+L18</f>
        <v>1168712</v>
      </c>
      <c r="M20" s="23"/>
      <c r="N20" s="10" t="s">
        <v>60</v>
      </c>
      <c r="O20" s="18" t="s">
        <v>34</v>
      </c>
      <c r="P20" s="11">
        <f t="shared" ref="P20:S20" si="12">P15+P18</f>
        <v>593868</v>
      </c>
      <c r="Q20" s="11">
        <f t="shared" si="12"/>
        <v>74262</v>
      </c>
      <c r="R20" s="11">
        <f t="shared" si="12"/>
        <v>123669</v>
      </c>
      <c r="S20" s="11">
        <f t="shared" si="12"/>
        <v>17811</v>
      </c>
      <c r="T20" s="11">
        <f>T15+T18</f>
        <v>809610</v>
      </c>
      <c r="U20" s="11">
        <f t="shared" ref="U20:X20" si="13">U15+U18</f>
        <v>877960</v>
      </c>
      <c r="V20" s="11">
        <f t="shared" si="13"/>
        <v>78576</v>
      </c>
      <c r="W20" s="11">
        <f t="shared" si="13"/>
        <v>129232</v>
      </c>
      <c r="X20" s="11">
        <f t="shared" si="13"/>
        <v>19205</v>
      </c>
      <c r="Y20" s="11">
        <f>Y15+Y18</f>
        <v>1104973</v>
      </c>
    </row>
    <row r="21" spans="1:25" x14ac:dyDescent="0.25">
      <c r="A21" s="39"/>
      <c r="B21" s="40"/>
      <c r="C21" s="59"/>
      <c r="D21" s="59"/>
      <c r="E21" s="59"/>
      <c r="F21" s="59"/>
      <c r="G21" s="41"/>
      <c r="H21" s="59"/>
      <c r="I21" s="59"/>
      <c r="J21" s="59"/>
      <c r="K21" s="59"/>
      <c r="L21" s="41"/>
      <c r="M21" s="20"/>
      <c r="N21" s="25"/>
      <c r="O21" s="26"/>
      <c r="P21" s="59"/>
      <c r="Q21" s="59"/>
      <c r="R21" s="59"/>
      <c r="S21" s="59"/>
      <c r="T21" s="9"/>
      <c r="U21" s="59"/>
      <c r="V21" s="59"/>
      <c r="W21" s="59"/>
      <c r="X21" s="59"/>
      <c r="Y21" s="9"/>
    </row>
    <row r="22" spans="1:25" x14ac:dyDescent="0.25">
      <c r="A22" s="42" t="s">
        <v>10</v>
      </c>
      <c r="B22" s="43" t="s">
        <v>69</v>
      </c>
      <c r="C22" s="60">
        <v>407000</v>
      </c>
      <c r="D22" s="60">
        <v>0</v>
      </c>
      <c r="E22" s="60">
        <v>0</v>
      </c>
      <c r="F22" s="60">
        <v>0</v>
      </c>
      <c r="G22" s="44">
        <f t="shared" ref="G22:G24" si="14">SUM(C22:F22)</f>
        <v>407000</v>
      </c>
      <c r="H22" s="60">
        <f>407000+95342</f>
        <v>502342</v>
      </c>
      <c r="I22" s="60">
        <v>0</v>
      </c>
      <c r="J22" s="60">
        <v>0</v>
      </c>
      <c r="K22" s="60">
        <v>0</v>
      </c>
      <c r="L22" s="44">
        <f t="shared" ref="L22:L24" si="15">SUM(H22:K22)</f>
        <v>502342</v>
      </c>
      <c r="M22" s="21"/>
      <c r="N22" s="27" t="s">
        <v>36</v>
      </c>
      <c r="O22" s="16" t="s">
        <v>37</v>
      </c>
      <c r="P22" s="60">
        <f>1287935+400</f>
        <v>1288335</v>
      </c>
      <c r="Q22" s="60">
        <v>559</v>
      </c>
      <c r="R22" s="60">
        <v>953</v>
      </c>
      <c r="S22" s="60">
        <v>127</v>
      </c>
      <c r="T22" s="3">
        <f t="shared" ref="T22:T24" si="16">SUM(P22:S22)</f>
        <v>1289974</v>
      </c>
      <c r="U22" s="60">
        <f>1287935+400+4572+5200+200+2644+2437+200+850+1905</f>
        <v>1306343</v>
      </c>
      <c r="V22" s="60">
        <v>559</v>
      </c>
      <c r="W22" s="60">
        <v>1461</v>
      </c>
      <c r="X22" s="60">
        <v>127</v>
      </c>
      <c r="Y22" s="3">
        <f t="shared" ref="Y22:Y24" si="17">SUM(U22:X22)</f>
        <v>1308490</v>
      </c>
    </row>
    <row r="23" spans="1:25" x14ac:dyDescent="0.25">
      <c r="A23" s="42" t="s">
        <v>26</v>
      </c>
      <c r="B23" s="43" t="s">
        <v>27</v>
      </c>
      <c r="C23" s="60">
        <v>77540</v>
      </c>
      <c r="D23" s="60">
        <v>0</v>
      </c>
      <c r="E23" s="60">
        <v>0</v>
      </c>
      <c r="F23" s="60">
        <v>0</v>
      </c>
      <c r="G23" s="44">
        <f t="shared" si="14"/>
        <v>77540</v>
      </c>
      <c r="H23" s="60">
        <v>77540</v>
      </c>
      <c r="I23" s="60">
        <v>0</v>
      </c>
      <c r="J23" s="60">
        <v>0</v>
      </c>
      <c r="K23" s="60">
        <v>0</v>
      </c>
      <c r="L23" s="44">
        <f t="shared" si="15"/>
        <v>77540</v>
      </c>
      <c r="M23" s="21"/>
      <c r="N23" s="27" t="s">
        <v>38</v>
      </c>
      <c r="O23" s="16" t="s">
        <v>39</v>
      </c>
      <c r="P23" s="60">
        <v>0</v>
      </c>
      <c r="Q23" s="60">
        <v>0</v>
      </c>
      <c r="R23" s="60">
        <v>1296</v>
      </c>
      <c r="S23" s="60">
        <v>1270</v>
      </c>
      <c r="T23" s="3">
        <f t="shared" si="16"/>
        <v>2566</v>
      </c>
      <c r="U23" s="60">
        <f>6500-994+31750+10261+92350+27356</f>
        <v>167223</v>
      </c>
      <c r="V23" s="60">
        <v>0</v>
      </c>
      <c r="W23" s="60">
        <v>788</v>
      </c>
      <c r="X23" s="60">
        <v>1270</v>
      </c>
      <c r="Y23" s="3">
        <f t="shared" si="17"/>
        <v>169281</v>
      </c>
    </row>
    <row r="24" spans="1:25" ht="15.75" thickBot="1" x14ac:dyDescent="0.3">
      <c r="A24" s="42" t="s">
        <v>28</v>
      </c>
      <c r="B24" s="43" t="s">
        <v>29</v>
      </c>
      <c r="C24" s="60">
        <v>12000</v>
      </c>
      <c r="D24" s="60">
        <v>0</v>
      </c>
      <c r="E24" s="60">
        <v>0</v>
      </c>
      <c r="F24" s="60">
        <v>0</v>
      </c>
      <c r="G24" s="44">
        <f t="shared" si="14"/>
        <v>12000</v>
      </c>
      <c r="H24" s="60">
        <v>12000</v>
      </c>
      <c r="I24" s="60">
        <v>0</v>
      </c>
      <c r="J24" s="60">
        <v>0</v>
      </c>
      <c r="K24" s="60">
        <v>0</v>
      </c>
      <c r="L24" s="44">
        <f t="shared" si="15"/>
        <v>12000</v>
      </c>
      <c r="M24" s="22"/>
      <c r="N24" s="27" t="s">
        <v>40</v>
      </c>
      <c r="O24" s="2" t="s">
        <v>41</v>
      </c>
      <c r="P24" s="60">
        <v>4000</v>
      </c>
      <c r="Q24" s="60">
        <v>0</v>
      </c>
      <c r="R24" s="60">
        <v>0</v>
      </c>
      <c r="S24" s="60">
        <v>0</v>
      </c>
      <c r="T24" s="3">
        <f t="shared" si="16"/>
        <v>4000</v>
      </c>
      <c r="U24" s="60">
        <f>4000+3850</f>
        <v>7850</v>
      </c>
      <c r="V24" s="60">
        <v>0</v>
      </c>
      <c r="W24" s="60">
        <v>0</v>
      </c>
      <c r="X24" s="60">
        <v>0</v>
      </c>
      <c r="Y24" s="3">
        <f t="shared" si="17"/>
        <v>7850</v>
      </c>
    </row>
    <row r="25" spans="1:25" ht="15.75" thickBot="1" x14ac:dyDescent="0.3">
      <c r="A25" s="48" t="s">
        <v>59</v>
      </c>
      <c r="B25" s="49" t="s">
        <v>32</v>
      </c>
      <c r="C25" s="50">
        <f t="shared" ref="C25:F25" si="18">SUM(C22:C24)</f>
        <v>496540</v>
      </c>
      <c r="D25" s="50">
        <f t="shared" si="18"/>
        <v>0</v>
      </c>
      <c r="E25" s="50">
        <f t="shared" si="18"/>
        <v>0</v>
      </c>
      <c r="F25" s="50">
        <f t="shared" si="18"/>
        <v>0</v>
      </c>
      <c r="G25" s="50">
        <f>SUM(G22:G24)</f>
        <v>496540</v>
      </c>
      <c r="H25" s="50">
        <f t="shared" ref="H25:K25" si="19">SUM(H22:H24)</f>
        <v>591882</v>
      </c>
      <c r="I25" s="50">
        <f t="shared" si="19"/>
        <v>0</v>
      </c>
      <c r="J25" s="50">
        <f t="shared" si="19"/>
        <v>0</v>
      </c>
      <c r="K25" s="50">
        <f t="shared" si="19"/>
        <v>0</v>
      </c>
      <c r="L25" s="50">
        <f>SUM(L22:L24)</f>
        <v>591882</v>
      </c>
      <c r="M25" s="23"/>
      <c r="N25" s="10" t="s">
        <v>59</v>
      </c>
      <c r="O25" s="18" t="s">
        <v>35</v>
      </c>
      <c r="P25" s="11">
        <f t="shared" ref="P25:S25" si="20">SUM(P22:P24)</f>
        <v>1292335</v>
      </c>
      <c r="Q25" s="11">
        <f t="shared" si="20"/>
        <v>559</v>
      </c>
      <c r="R25" s="11">
        <f t="shared" si="20"/>
        <v>2249</v>
      </c>
      <c r="S25" s="11">
        <f t="shared" si="20"/>
        <v>1397</v>
      </c>
      <c r="T25" s="11">
        <f>SUM(T22:T24)</f>
        <v>1296540</v>
      </c>
      <c r="U25" s="11">
        <f t="shared" ref="U25:X25" si="21">SUM(U22:U24)</f>
        <v>1481416</v>
      </c>
      <c r="V25" s="11">
        <f t="shared" si="21"/>
        <v>559</v>
      </c>
      <c r="W25" s="11">
        <f t="shared" si="21"/>
        <v>2249</v>
      </c>
      <c r="X25" s="11">
        <f t="shared" si="21"/>
        <v>1397</v>
      </c>
      <c r="Y25" s="11">
        <f>SUM(Y22:Y24)</f>
        <v>1485621</v>
      </c>
    </row>
    <row r="26" spans="1:25" x14ac:dyDescent="0.25">
      <c r="A26" s="51" t="s">
        <v>24</v>
      </c>
      <c r="B26" s="52" t="s">
        <v>84</v>
      </c>
      <c r="C26" s="62"/>
      <c r="D26" s="62"/>
      <c r="E26" s="62"/>
      <c r="F26" s="62"/>
      <c r="G26" s="53"/>
      <c r="H26" s="62">
        <v>30000</v>
      </c>
      <c r="I26" s="62">
        <v>0</v>
      </c>
      <c r="J26" s="62">
        <v>0</v>
      </c>
      <c r="K26" s="62">
        <v>0</v>
      </c>
      <c r="L26" s="53">
        <v>30000</v>
      </c>
      <c r="M26" s="20"/>
      <c r="N26" s="29"/>
      <c r="O26" s="15"/>
      <c r="P26" s="62"/>
      <c r="Q26" s="62"/>
      <c r="R26" s="62"/>
      <c r="S26" s="62"/>
      <c r="T26" s="4"/>
      <c r="U26" s="62"/>
      <c r="V26" s="62"/>
      <c r="W26" s="62"/>
      <c r="X26" s="62"/>
      <c r="Y26" s="4"/>
    </row>
    <row r="27" spans="1:25" ht="15.75" thickBot="1" x14ac:dyDescent="0.3">
      <c r="A27" s="45" t="s">
        <v>24</v>
      </c>
      <c r="B27" s="46" t="s">
        <v>71</v>
      </c>
      <c r="C27" s="61">
        <v>800000</v>
      </c>
      <c r="D27" s="61">
        <v>559</v>
      </c>
      <c r="E27" s="61">
        <v>2249</v>
      </c>
      <c r="F27" s="61">
        <v>1397</v>
      </c>
      <c r="G27" s="44">
        <f>SUM(C27:F27)</f>
        <v>804205</v>
      </c>
      <c r="H27" s="61">
        <v>800000</v>
      </c>
      <c r="I27" s="61">
        <v>559</v>
      </c>
      <c r="J27" s="61">
        <v>2249</v>
      </c>
      <c r="K27" s="61">
        <v>1397</v>
      </c>
      <c r="L27" s="44">
        <f>SUM(H27:K27)</f>
        <v>804205</v>
      </c>
      <c r="M27" s="22"/>
      <c r="N27" s="28" t="s">
        <v>25</v>
      </c>
      <c r="O27" s="17" t="s">
        <v>46</v>
      </c>
      <c r="P27" s="61">
        <v>4205</v>
      </c>
      <c r="Q27" s="61">
        <v>0</v>
      </c>
      <c r="R27" s="61">
        <v>0</v>
      </c>
      <c r="S27" s="61">
        <v>0</v>
      </c>
      <c r="T27" s="3">
        <f>SUM(P27:S27)</f>
        <v>4205</v>
      </c>
      <c r="U27" s="61">
        <v>4205</v>
      </c>
      <c r="V27" s="61">
        <v>0</v>
      </c>
      <c r="W27" s="61">
        <v>0</v>
      </c>
      <c r="X27" s="61">
        <v>0</v>
      </c>
      <c r="Y27" s="3">
        <f>SUM(U27:X27)</f>
        <v>4205</v>
      </c>
    </row>
    <row r="28" spans="1:25" ht="15.75" thickBot="1" x14ac:dyDescent="0.3">
      <c r="A28" s="48" t="s">
        <v>58</v>
      </c>
      <c r="B28" s="49" t="s">
        <v>48</v>
      </c>
      <c r="C28" s="50">
        <f t="shared" ref="C28:F28" si="22">C27</f>
        <v>800000</v>
      </c>
      <c r="D28" s="50">
        <f t="shared" si="22"/>
        <v>559</v>
      </c>
      <c r="E28" s="50">
        <f t="shared" si="22"/>
        <v>2249</v>
      </c>
      <c r="F28" s="50">
        <f t="shared" si="22"/>
        <v>1397</v>
      </c>
      <c r="G28" s="50">
        <f>G27</f>
        <v>804205</v>
      </c>
      <c r="H28" s="50">
        <v>830000</v>
      </c>
      <c r="I28" s="50">
        <f t="shared" ref="I28:K28" si="23">I27</f>
        <v>559</v>
      </c>
      <c r="J28" s="50">
        <f t="shared" si="23"/>
        <v>2249</v>
      </c>
      <c r="K28" s="50">
        <f t="shared" si="23"/>
        <v>1397</v>
      </c>
      <c r="L28" s="50">
        <f>L26+L27</f>
        <v>834205</v>
      </c>
      <c r="M28" s="23"/>
      <c r="N28" s="10" t="s">
        <v>58</v>
      </c>
      <c r="O28" s="18" t="s">
        <v>47</v>
      </c>
      <c r="P28" s="11">
        <f t="shared" ref="P28:S28" si="24">P27</f>
        <v>4205</v>
      </c>
      <c r="Q28" s="11">
        <f t="shared" si="24"/>
        <v>0</v>
      </c>
      <c r="R28" s="11">
        <f t="shared" si="24"/>
        <v>0</v>
      </c>
      <c r="S28" s="11">
        <f t="shared" si="24"/>
        <v>0</v>
      </c>
      <c r="T28" s="11">
        <f>T27</f>
        <v>4205</v>
      </c>
      <c r="U28" s="11">
        <f t="shared" ref="U28:X28" si="25">U27</f>
        <v>4205</v>
      </c>
      <c r="V28" s="11">
        <f t="shared" si="25"/>
        <v>0</v>
      </c>
      <c r="W28" s="11">
        <f t="shared" si="25"/>
        <v>0</v>
      </c>
      <c r="X28" s="11">
        <f t="shared" si="25"/>
        <v>0</v>
      </c>
      <c r="Y28" s="11">
        <f>Y27</f>
        <v>4205</v>
      </c>
    </row>
    <row r="29" spans="1:25" x14ac:dyDescent="0.25">
      <c r="A29" s="51"/>
      <c r="B29" s="52" t="s">
        <v>49</v>
      </c>
      <c r="C29" s="62"/>
      <c r="D29" s="62"/>
      <c r="E29" s="62"/>
      <c r="F29" s="62"/>
      <c r="G29" s="53">
        <v>0</v>
      </c>
      <c r="H29" s="62"/>
      <c r="I29" s="62"/>
      <c r="J29" s="62"/>
      <c r="K29" s="62"/>
      <c r="L29" s="53">
        <v>0</v>
      </c>
      <c r="M29" s="20"/>
      <c r="N29" s="29"/>
      <c r="O29" s="15"/>
      <c r="P29" s="62"/>
      <c r="Q29" s="62"/>
      <c r="R29" s="62"/>
      <c r="S29" s="62"/>
      <c r="T29" s="4"/>
      <c r="U29" s="62"/>
      <c r="V29" s="62"/>
      <c r="W29" s="62"/>
      <c r="X29" s="62"/>
      <c r="Y29" s="4"/>
    </row>
    <row r="30" spans="1:25" ht="15.75" thickBot="1" x14ac:dyDescent="0.3">
      <c r="A30" s="54"/>
      <c r="B30" s="55"/>
      <c r="C30" s="63"/>
      <c r="D30" s="63"/>
      <c r="E30" s="63"/>
      <c r="F30" s="63"/>
      <c r="G30" s="56"/>
      <c r="H30" s="63"/>
      <c r="I30" s="63"/>
      <c r="J30" s="63"/>
      <c r="K30" s="63"/>
      <c r="L30" s="56"/>
      <c r="M30" s="24"/>
      <c r="N30" s="30"/>
      <c r="O30" s="19"/>
      <c r="P30" s="63"/>
      <c r="Q30" s="63"/>
      <c r="R30" s="63"/>
      <c r="S30" s="63"/>
      <c r="T30" s="8"/>
      <c r="U30" s="63"/>
      <c r="V30" s="63"/>
      <c r="W30" s="63"/>
      <c r="X30" s="63"/>
      <c r="Y30" s="8"/>
    </row>
    <row r="31" spans="1:25" ht="15.75" thickBot="1" x14ac:dyDescent="0.3">
      <c r="A31" s="48" t="s">
        <v>57</v>
      </c>
      <c r="B31" s="49" t="s">
        <v>50</v>
      </c>
      <c r="C31" s="50">
        <f t="shared" ref="C31:F31" si="26">C25+C28</f>
        <v>1296540</v>
      </c>
      <c r="D31" s="50">
        <f t="shared" si="26"/>
        <v>559</v>
      </c>
      <c r="E31" s="50">
        <f t="shared" si="26"/>
        <v>2249</v>
      </c>
      <c r="F31" s="50">
        <f t="shared" si="26"/>
        <v>1397</v>
      </c>
      <c r="G31" s="50">
        <f>G25+G28</f>
        <v>1300745</v>
      </c>
      <c r="H31" s="50">
        <f t="shared" ref="H31:K31" si="27">H25+H28</f>
        <v>1421882</v>
      </c>
      <c r="I31" s="50">
        <f t="shared" si="27"/>
        <v>559</v>
      </c>
      <c r="J31" s="50">
        <f t="shared" si="27"/>
        <v>2249</v>
      </c>
      <c r="K31" s="50">
        <f t="shared" si="27"/>
        <v>1397</v>
      </c>
      <c r="L31" s="50">
        <f>L25+L28</f>
        <v>1426087</v>
      </c>
      <c r="M31" s="23"/>
      <c r="N31" s="10" t="s">
        <v>57</v>
      </c>
      <c r="O31" s="18" t="s">
        <v>51</v>
      </c>
      <c r="P31" s="11">
        <f t="shared" ref="P31:S31" si="28">P25+P28</f>
        <v>1296540</v>
      </c>
      <c r="Q31" s="11">
        <f t="shared" si="28"/>
        <v>559</v>
      </c>
      <c r="R31" s="11">
        <f t="shared" si="28"/>
        <v>2249</v>
      </c>
      <c r="S31" s="11">
        <f t="shared" si="28"/>
        <v>1397</v>
      </c>
      <c r="T31" s="11">
        <f>T25+T28</f>
        <v>1300745</v>
      </c>
      <c r="U31" s="11">
        <f t="shared" ref="U31:X31" si="29">U25+U28</f>
        <v>1485621</v>
      </c>
      <c r="V31" s="11">
        <f t="shared" si="29"/>
        <v>559</v>
      </c>
      <c r="W31" s="11">
        <f t="shared" si="29"/>
        <v>2249</v>
      </c>
      <c r="X31" s="11">
        <f t="shared" si="29"/>
        <v>1397</v>
      </c>
      <c r="Y31" s="11">
        <f>Y25+Y28</f>
        <v>1489826</v>
      </c>
    </row>
    <row r="32" spans="1:25" ht="15.75" thickBot="1" x14ac:dyDescent="0.3">
      <c r="A32" s="48" t="s">
        <v>56</v>
      </c>
      <c r="B32" s="49" t="s">
        <v>52</v>
      </c>
      <c r="C32" s="50">
        <f t="shared" ref="C32:F32" si="30">C15+C25</f>
        <v>1090408</v>
      </c>
      <c r="D32" s="50">
        <f t="shared" si="30"/>
        <v>3500</v>
      </c>
      <c r="E32" s="50">
        <f t="shared" si="30"/>
        <v>18429</v>
      </c>
      <c r="F32" s="50">
        <f t="shared" si="30"/>
        <v>2000</v>
      </c>
      <c r="G32" s="50">
        <f>G15+G25</f>
        <v>1114337</v>
      </c>
      <c r="H32" s="50">
        <f t="shared" ref="H32:K32" si="31">H15+H25</f>
        <v>1198967</v>
      </c>
      <c r="I32" s="50">
        <f t="shared" si="31"/>
        <v>4000</v>
      </c>
      <c r="J32" s="50">
        <f t="shared" si="31"/>
        <v>18429</v>
      </c>
      <c r="K32" s="50">
        <f t="shared" si="31"/>
        <v>2300</v>
      </c>
      <c r="L32" s="50">
        <f>L15+L25</f>
        <v>1223696</v>
      </c>
      <c r="M32" s="23"/>
      <c r="N32" s="10" t="s">
        <v>56</v>
      </c>
      <c r="O32" s="18" t="s">
        <v>64</v>
      </c>
      <c r="P32" s="11">
        <f t="shared" ref="P32:S32" si="32">P15+P25</f>
        <v>1694390</v>
      </c>
      <c r="Q32" s="11">
        <f t="shared" si="32"/>
        <v>74821</v>
      </c>
      <c r="R32" s="11">
        <f t="shared" si="32"/>
        <v>125918</v>
      </c>
      <c r="S32" s="11">
        <f t="shared" si="32"/>
        <v>19208</v>
      </c>
      <c r="T32" s="11">
        <f>T15+T25</f>
        <v>1914337</v>
      </c>
      <c r="U32" s="11">
        <f t="shared" ref="U32:X32" si="33">U15+U25</f>
        <v>1905145</v>
      </c>
      <c r="V32" s="11">
        <f t="shared" si="33"/>
        <v>79135</v>
      </c>
      <c r="W32" s="11">
        <f t="shared" si="33"/>
        <v>131481</v>
      </c>
      <c r="X32" s="11">
        <f t="shared" si="33"/>
        <v>20602</v>
      </c>
      <c r="Y32" s="11">
        <f>Y15+Y25</f>
        <v>2136363</v>
      </c>
    </row>
    <row r="33" spans="1:25" ht="15.75" thickBot="1" x14ac:dyDescent="0.3">
      <c r="A33" s="48" t="s">
        <v>55</v>
      </c>
      <c r="B33" s="49" t="s">
        <v>53</v>
      </c>
      <c r="C33" s="50">
        <f t="shared" ref="C33:F33" si="34">C18+C28</f>
        <v>800000</v>
      </c>
      <c r="D33" s="50">
        <f t="shared" si="34"/>
        <v>71321</v>
      </c>
      <c r="E33" s="50">
        <f t="shared" si="34"/>
        <v>107489</v>
      </c>
      <c r="F33" s="50">
        <f t="shared" si="34"/>
        <v>17208</v>
      </c>
      <c r="G33" s="50">
        <f>G18+G28</f>
        <v>996018</v>
      </c>
      <c r="H33" s="50">
        <f t="shared" ref="H33:K33" si="35">H18+H28</f>
        <v>1164615</v>
      </c>
      <c r="I33" s="50">
        <f t="shared" si="35"/>
        <v>75135</v>
      </c>
      <c r="J33" s="50">
        <f t="shared" si="35"/>
        <v>113051</v>
      </c>
      <c r="K33" s="50">
        <f t="shared" si="35"/>
        <v>18302</v>
      </c>
      <c r="L33" s="50">
        <f>L18+L28</f>
        <v>1371103</v>
      </c>
      <c r="M33" s="23"/>
      <c r="N33" s="10" t="s">
        <v>55</v>
      </c>
      <c r="O33" s="18" t="s">
        <v>65</v>
      </c>
      <c r="P33" s="11">
        <f t="shared" ref="P33:S33" si="36">P18+P28</f>
        <v>196018</v>
      </c>
      <c r="Q33" s="11">
        <f t="shared" si="36"/>
        <v>0</v>
      </c>
      <c r="R33" s="11">
        <f t="shared" si="36"/>
        <v>0</v>
      </c>
      <c r="S33" s="11">
        <f t="shared" si="36"/>
        <v>0</v>
      </c>
      <c r="T33" s="11">
        <f>T18+T28</f>
        <v>196018</v>
      </c>
      <c r="U33" s="11">
        <f t="shared" ref="U33:X33" si="37">U18+U28</f>
        <v>458436</v>
      </c>
      <c r="V33" s="11">
        <f t="shared" si="37"/>
        <v>0</v>
      </c>
      <c r="W33" s="11">
        <f t="shared" si="37"/>
        <v>0</v>
      </c>
      <c r="X33" s="11">
        <f t="shared" si="37"/>
        <v>0</v>
      </c>
      <c r="Y33" s="11">
        <f>Y18+Y28</f>
        <v>458436</v>
      </c>
    </row>
    <row r="34" spans="1:25" ht="15.75" thickBot="1" x14ac:dyDescent="0.3">
      <c r="A34" s="48" t="s">
        <v>54</v>
      </c>
      <c r="B34" s="49" t="s">
        <v>63</v>
      </c>
      <c r="C34" s="50">
        <f t="shared" ref="C34:F34" si="38">C20+C31</f>
        <v>1890408</v>
      </c>
      <c r="D34" s="50">
        <f t="shared" si="38"/>
        <v>74821</v>
      </c>
      <c r="E34" s="50">
        <f t="shared" si="38"/>
        <v>125918</v>
      </c>
      <c r="F34" s="50">
        <f t="shared" si="38"/>
        <v>19208</v>
      </c>
      <c r="G34" s="50">
        <f>G20+G31</f>
        <v>2110355</v>
      </c>
      <c r="H34" s="50">
        <f t="shared" ref="H34:K34" si="39">H20+H31</f>
        <v>2363582</v>
      </c>
      <c r="I34" s="50">
        <f t="shared" si="39"/>
        <v>79135</v>
      </c>
      <c r="J34" s="50">
        <f t="shared" si="39"/>
        <v>131480</v>
      </c>
      <c r="K34" s="50">
        <f t="shared" si="39"/>
        <v>20602</v>
      </c>
      <c r="L34" s="50">
        <f>L20+L31</f>
        <v>2594799</v>
      </c>
      <c r="M34" s="23"/>
      <c r="N34" s="10" t="s">
        <v>54</v>
      </c>
      <c r="O34" s="18" t="s">
        <v>66</v>
      </c>
      <c r="P34" s="11">
        <f t="shared" ref="P34:S34" si="40">P20+P31</f>
        <v>1890408</v>
      </c>
      <c r="Q34" s="11">
        <f t="shared" si="40"/>
        <v>74821</v>
      </c>
      <c r="R34" s="11">
        <f t="shared" si="40"/>
        <v>125918</v>
      </c>
      <c r="S34" s="11">
        <f t="shared" si="40"/>
        <v>19208</v>
      </c>
      <c r="T34" s="11">
        <f>T20+T31</f>
        <v>2110355</v>
      </c>
      <c r="U34" s="11">
        <f t="shared" ref="U34:X34" si="41">U20+U31</f>
        <v>2363581</v>
      </c>
      <c r="V34" s="11">
        <f t="shared" si="41"/>
        <v>79135</v>
      </c>
      <c r="W34" s="11">
        <f t="shared" si="41"/>
        <v>131481</v>
      </c>
      <c r="X34" s="11">
        <f t="shared" si="41"/>
        <v>20602</v>
      </c>
      <c r="Y34" s="11">
        <f>Y20+Y31</f>
        <v>2594799</v>
      </c>
    </row>
    <row r="35" spans="1:25" s="1" customFormat="1" x14ac:dyDescent="0.25">
      <c r="A35" s="57" t="s">
        <v>83</v>
      </c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O35"/>
      <c r="P35" s="35"/>
      <c r="Q35" s="35"/>
      <c r="R35" s="35"/>
      <c r="S35" s="35"/>
      <c r="U35" s="35"/>
      <c r="V35" s="35"/>
      <c r="W35" s="35"/>
      <c r="X35" s="35"/>
    </row>
    <row r="37" spans="1:25" s="1" customFormat="1" x14ac:dyDescent="0.25">
      <c r="A37" s="34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P37" s="35"/>
      <c r="Q37" s="35"/>
      <c r="R37" s="35"/>
      <c r="S37" s="35"/>
      <c r="U37" s="35"/>
      <c r="V37" s="35"/>
      <c r="W37" s="35"/>
      <c r="X37" s="35"/>
    </row>
  </sheetData>
  <mergeCells count="11">
    <mergeCell ref="U5:Y5"/>
    <mergeCell ref="N4:Y4"/>
    <mergeCell ref="A2:Y2"/>
    <mergeCell ref="B5:B6"/>
    <mergeCell ref="A5:A6"/>
    <mergeCell ref="C5:G5"/>
    <mergeCell ref="O5:O6"/>
    <mergeCell ref="N5:N6"/>
    <mergeCell ref="P5:T5"/>
    <mergeCell ref="H5:L5"/>
    <mergeCell ref="A4:L4"/>
  </mergeCells>
  <pageMargins left="0.70866141732283472" right="0.70866141732283472" top="0.74803149606299213" bottom="0.74803149606299213" header="0.31496062992125984" footer="0.31496062992125984"/>
  <pageSetup paperSize="8" scale="92" orientation="landscape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2.sz.m.-mérleg</vt:lpstr>
      <vt:lpstr>2.a.sz.mérleg-int.bontás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2017-11-08T10:17:13Z</cp:lastPrinted>
  <dcterms:created xsi:type="dcterms:W3CDTF">2014-02-09T07:06:29Z</dcterms:created>
  <dcterms:modified xsi:type="dcterms:W3CDTF">2017-12-15T18:04:09Z</dcterms:modified>
</cp:coreProperties>
</file>